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an.lls\Desktop\"/>
    </mc:Choice>
  </mc:AlternateContent>
  <bookViews>
    <workbookView xWindow="0" yWindow="0" windowWidth="20490" windowHeight="7545" tabRatio="961" activeTab="1"/>
  </bookViews>
  <sheets>
    <sheet name="TOTAL" sheetId="1" r:id="rId1"/>
    <sheet name="INSUMOS" sheetId="2" r:id="rId2"/>
    <sheet name="SR Noturno" sheetId="3" r:id="rId3"/>
    <sheet name="DRS Noturno" sheetId="7" r:id="rId4"/>
    <sheet name="PPA - Noturno" sheetId="6" r:id="rId5"/>
    <sheet name="NVI Noturno" sheetId="8" r:id="rId6"/>
    <sheet name="SR Diurno" sheetId="9" r:id="rId7"/>
    <sheet name="DRS Diurno" sheetId="12" r:id="rId8"/>
    <sheet name="PPA Diurno" sheetId="11" r:id="rId9"/>
    <sheet name="TLS Diurno" sheetId="10" r:id="rId10"/>
    <sheet name="CRA Diurno" sheetId="5" r:id="rId11"/>
  </sheets>
  <definedNames>
    <definedName name="Z_5814B4A8_EA6A_43F4_B910_A8CE90082F1D_.wvu.Cols" localSheetId="10" hidden="1">'CRA Diurno'!$M:$XFD</definedName>
    <definedName name="Z_5814B4A8_EA6A_43F4_B910_A8CE90082F1D_.wvu.Cols" localSheetId="7" hidden="1">'DRS Diurno'!$M:$XFD</definedName>
    <definedName name="Z_5814B4A8_EA6A_43F4_B910_A8CE90082F1D_.wvu.Cols" localSheetId="3" hidden="1">'DRS Noturno'!$M:$XFD</definedName>
    <definedName name="Z_5814B4A8_EA6A_43F4_B910_A8CE90082F1D_.wvu.Cols" localSheetId="1" hidden="1">INSUMOS!$P:$XFD</definedName>
    <definedName name="Z_5814B4A8_EA6A_43F4_B910_A8CE90082F1D_.wvu.Cols" localSheetId="5" hidden="1">'NVI Noturno'!$M:$XFD</definedName>
    <definedName name="Z_5814B4A8_EA6A_43F4_B910_A8CE90082F1D_.wvu.Cols" localSheetId="4" hidden="1">'PPA - Noturno'!$M:$XFD</definedName>
    <definedName name="Z_5814B4A8_EA6A_43F4_B910_A8CE90082F1D_.wvu.Cols" localSheetId="8" hidden="1">'PPA Diurno'!$M:$XFD</definedName>
    <definedName name="Z_5814B4A8_EA6A_43F4_B910_A8CE90082F1D_.wvu.Cols" localSheetId="6" hidden="1">'SR Diurno'!$M:$XFD</definedName>
    <definedName name="Z_5814B4A8_EA6A_43F4_B910_A8CE90082F1D_.wvu.Cols" localSheetId="2" hidden="1">'SR Noturno'!$M:$XFD</definedName>
    <definedName name="Z_5814B4A8_EA6A_43F4_B910_A8CE90082F1D_.wvu.Cols" localSheetId="9" hidden="1">'TLS Diurno'!$M:$XFD</definedName>
    <definedName name="Z_5814B4A8_EA6A_43F4_B910_A8CE90082F1D_.wvu.Cols" localSheetId="0" hidden="1">TOTAL!$I:$XFD</definedName>
    <definedName name="Z_5814B4A8_EA6A_43F4_B910_A8CE90082F1D_.wvu.Rows" localSheetId="10" hidden="1">'CRA Diurno'!$145:$1048576,'CRA Diurno'!$136:$144</definedName>
    <definedName name="Z_5814B4A8_EA6A_43F4_B910_A8CE90082F1D_.wvu.Rows" localSheetId="7" hidden="1">'DRS Diurno'!$145:$1048576,'DRS Diurno'!$136:$144</definedName>
    <definedName name="Z_5814B4A8_EA6A_43F4_B910_A8CE90082F1D_.wvu.Rows" localSheetId="3" hidden="1">'DRS Noturno'!$145:$1048576,'DRS Noturno'!$136:$144</definedName>
    <definedName name="Z_5814B4A8_EA6A_43F4_B910_A8CE90082F1D_.wvu.Rows" localSheetId="1" hidden="1">INSUMOS!$83:$1048576,INSUMOS!$23:$82</definedName>
    <definedName name="Z_5814B4A8_EA6A_43F4_B910_A8CE90082F1D_.wvu.Rows" localSheetId="5" hidden="1">'NVI Noturno'!$145:$1048576,'NVI Noturno'!$136:$144</definedName>
    <definedName name="Z_5814B4A8_EA6A_43F4_B910_A8CE90082F1D_.wvu.Rows" localSheetId="4" hidden="1">'PPA - Noturno'!$145:$1048576,'PPA - Noturno'!$118:$133,'PPA - Noturno'!$136:$144</definedName>
    <definedName name="Z_5814B4A8_EA6A_43F4_B910_A8CE90082F1D_.wvu.Rows" localSheetId="8" hidden="1">'PPA Diurno'!$145:$1048576,'PPA Diurno'!$136:$144</definedName>
    <definedName name="Z_5814B4A8_EA6A_43F4_B910_A8CE90082F1D_.wvu.Rows" localSheetId="6" hidden="1">'SR Diurno'!$145:$1048576,'SR Diurno'!$136:$144</definedName>
    <definedName name="Z_5814B4A8_EA6A_43F4_B910_A8CE90082F1D_.wvu.Rows" localSheetId="2" hidden="1">'SR Noturno'!$146:$1048576,'SR Noturno'!$136:$145</definedName>
    <definedName name="Z_5814B4A8_EA6A_43F4_B910_A8CE90082F1D_.wvu.Rows" localSheetId="9" hidden="1">'TLS Diurno'!$145:$1048576,'TLS Diurno'!$136:$144</definedName>
    <definedName name="Z_5814B4A8_EA6A_43F4_B910_A8CE90082F1D_.wvu.Rows" localSheetId="0" hidden="1">TOTAL!$64:$1048576,TOTAL!$15:$63</definedName>
  </definedNames>
  <calcPr calcId="152511"/>
  <customWorkbookViews>
    <customWorkbookView name="LUAN LUCIO DA SILVA - Modo de exibição pessoal" guid="{5814B4A8-EA6A-43F4-B910-A8CE90082F1D}" mergeInterval="0" personalView="1" maximized="1" xWindow="-8" yWindow="-8" windowWidth="1382" windowHeight="744" tabRatio="961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G5" i="1"/>
  <c r="F5" i="1"/>
  <c r="C31" i="5"/>
  <c r="C30" i="5"/>
  <c r="D28" i="5"/>
  <c r="D29" i="5" l="1"/>
  <c r="D32" i="5" s="1"/>
  <c r="C32" i="5" s="1"/>
  <c r="D18" i="1"/>
  <c r="D19" i="1"/>
  <c r="D20" i="1"/>
  <c r="D17" i="1"/>
  <c r="D16" i="1"/>
  <c r="D14" i="1"/>
  <c r="D15" i="1"/>
  <c r="D13" i="1"/>
  <c r="E18" i="1"/>
  <c r="E19" i="1"/>
  <c r="E20" i="1"/>
  <c r="E17" i="1"/>
  <c r="E16" i="1"/>
  <c r="E14" i="1"/>
  <c r="E15" i="1"/>
  <c r="E21" i="1"/>
  <c r="E13" i="1"/>
  <c r="D34" i="5" l="1"/>
  <c r="E5" i="1"/>
  <c r="F18" i="1"/>
  <c r="E22" i="1"/>
  <c r="F16" i="1"/>
  <c r="F20" i="1"/>
  <c r="F14" i="1"/>
  <c r="F19" i="1"/>
  <c r="F13" i="1"/>
  <c r="F17" i="1"/>
  <c r="F15" i="1"/>
  <c r="L11" i="2" l="1"/>
  <c r="D56" i="12" l="1"/>
  <c r="D56" i="11"/>
  <c r="D56" i="10"/>
  <c r="D56" i="9"/>
  <c r="D56" i="8"/>
  <c r="D56" i="7"/>
  <c r="D56" i="6"/>
  <c r="D56" i="5"/>
  <c r="C31" i="12"/>
  <c r="C30" i="12"/>
  <c r="D28" i="12"/>
  <c r="C31" i="11"/>
  <c r="C30" i="11"/>
  <c r="D28" i="11"/>
  <c r="D29" i="11" s="1"/>
  <c r="C31" i="10"/>
  <c r="C30" i="10"/>
  <c r="D28" i="10"/>
  <c r="D29" i="10" s="1"/>
  <c r="D32" i="10" s="1"/>
  <c r="C31" i="9"/>
  <c r="C30" i="9"/>
  <c r="D28" i="9"/>
  <c r="C31" i="8"/>
  <c r="C30" i="8"/>
  <c r="D28" i="8"/>
  <c r="C31" i="7"/>
  <c r="C30" i="7"/>
  <c r="D28" i="7"/>
  <c r="C31" i="6"/>
  <c r="C30" i="6"/>
  <c r="D28" i="6"/>
  <c r="C32" i="3"/>
  <c r="D32" i="3"/>
  <c r="D28" i="3"/>
  <c r="D29" i="12" l="1"/>
  <c r="D32" i="12" s="1"/>
  <c r="C32" i="12" s="1"/>
  <c r="D32" i="11"/>
  <c r="C32" i="11" s="1"/>
  <c r="C32" i="10"/>
  <c r="D29" i="9"/>
  <c r="D32" i="9" s="1"/>
  <c r="D29" i="8"/>
  <c r="D31" i="8" s="1"/>
  <c r="D31" i="7"/>
  <c r="D29" i="7"/>
  <c r="D29" i="6"/>
  <c r="D31" i="6" s="1"/>
  <c r="D56" i="3"/>
  <c r="D30" i="8" l="1"/>
  <c r="D30" i="7"/>
  <c r="D30" i="6"/>
  <c r="D32" i="6" s="1"/>
  <c r="C32" i="9" l="1"/>
  <c r="D32" i="8"/>
  <c r="C32" i="8" s="1"/>
  <c r="D32" i="7"/>
  <c r="C32" i="7" s="1"/>
  <c r="C32" i="6"/>
  <c r="L15" i="2" l="1"/>
  <c r="L12" i="2"/>
  <c r="L13" i="2"/>
  <c r="M13" i="2" s="1"/>
  <c r="L14" i="2"/>
  <c r="L16" i="2"/>
  <c r="M16" i="2" s="1"/>
  <c r="L17" i="2"/>
  <c r="L18" i="2"/>
  <c r="L5" i="2"/>
  <c r="L6" i="2"/>
  <c r="M6" i="2" s="1"/>
  <c r="L7" i="2"/>
  <c r="L8" i="2"/>
  <c r="L9" i="2"/>
  <c r="M9" i="2" s="1"/>
  <c r="L10" i="2"/>
  <c r="M10" i="2" s="1"/>
  <c r="M15" i="2"/>
  <c r="M11" i="2"/>
  <c r="M17" i="2"/>
  <c r="M14" i="2"/>
  <c r="M5" i="2"/>
  <c r="M7" i="2"/>
  <c r="M8" i="2"/>
  <c r="M12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M18" i="2" s="1"/>
  <c r="J5" i="2"/>
  <c r="E6" i="2"/>
  <c r="E7" i="2"/>
  <c r="E8" i="2"/>
  <c r="E9" i="2"/>
  <c r="E10" i="2"/>
  <c r="E11" i="2"/>
  <c r="E12" i="2"/>
  <c r="E13" i="2"/>
  <c r="E5" i="2"/>
  <c r="M19" i="2" l="1"/>
  <c r="M20" i="2" s="1"/>
  <c r="E14" i="2"/>
  <c r="E15" i="2" s="1"/>
  <c r="D104" i="9" l="1"/>
  <c r="D104" i="3"/>
  <c r="D104" i="11"/>
  <c r="D104" i="10"/>
  <c r="D104" i="5"/>
  <c r="D104" i="8"/>
  <c r="D104" i="12"/>
  <c r="D104" i="7"/>
  <c r="D104" i="6"/>
  <c r="F7" i="1"/>
  <c r="C122" i="12"/>
  <c r="C123" i="12" s="1"/>
  <c r="C85" i="12"/>
  <c r="C90" i="12" s="1"/>
  <c r="C97" i="12" s="1"/>
  <c r="C76" i="12"/>
  <c r="C78" i="12" s="1"/>
  <c r="C73" i="12"/>
  <c r="C74" i="12" s="1"/>
  <c r="D61" i="12"/>
  <c r="D60" i="12"/>
  <c r="D59" i="12"/>
  <c r="D58" i="12"/>
  <c r="D57" i="12"/>
  <c r="C52" i="12"/>
  <c r="D55" i="12"/>
  <c r="C122" i="11"/>
  <c r="C123" i="11" s="1"/>
  <c r="C85" i="11"/>
  <c r="C90" i="11" s="1"/>
  <c r="C97" i="11" s="1"/>
  <c r="C76" i="11"/>
  <c r="C78" i="11" s="1"/>
  <c r="C73" i="11"/>
  <c r="C74" i="11" s="1"/>
  <c r="D61" i="11"/>
  <c r="D60" i="11"/>
  <c r="D59" i="11"/>
  <c r="D58" i="11"/>
  <c r="D57" i="11"/>
  <c r="C52" i="11"/>
  <c r="C77" i="11" s="1"/>
  <c r="D55" i="11"/>
  <c r="D62" i="11" s="1"/>
  <c r="D67" i="11" s="1"/>
  <c r="C122" i="10"/>
  <c r="C123" i="10" s="1"/>
  <c r="C85" i="10"/>
  <c r="C90" i="10" s="1"/>
  <c r="C97" i="10" s="1"/>
  <c r="C76" i="10"/>
  <c r="C78" i="10" s="1"/>
  <c r="C73" i="10"/>
  <c r="C74" i="10" s="1"/>
  <c r="D61" i="10"/>
  <c r="D60" i="10"/>
  <c r="D59" i="10"/>
  <c r="D58" i="10"/>
  <c r="D57" i="10"/>
  <c r="C52" i="10"/>
  <c r="C77" i="10" s="1"/>
  <c r="D55" i="8"/>
  <c r="C122" i="9"/>
  <c r="C123" i="9" s="1"/>
  <c r="C85" i="9"/>
  <c r="C76" i="9"/>
  <c r="C78" i="9" s="1"/>
  <c r="C73" i="9"/>
  <c r="C74" i="9" s="1"/>
  <c r="D61" i="9"/>
  <c r="D60" i="9"/>
  <c r="D59" i="9"/>
  <c r="D58" i="9"/>
  <c r="D57" i="9"/>
  <c r="C52" i="9"/>
  <c r="C66" i="9" s="1"/>
  <c r="D55" i="9"/>
  <c r="C122" i="5"/>
  <c r="C123" i="5" s="1"/>
  <c r="C85" i="5"/>
  <c r="C90" i="5" s="1"/>
  <c r="C97" i="5" s="1"/>
  <c r="C76" i="5"/>
  <c r="C78" i="5" s="1"/>
  <c r="C73" i="5"/>
  <c r="C74" i="5" s="1"/>
  <c r="D61" i="5"/>
  <c r="D60" i="5"/>
  <c r="D59" i="5"/>
  <c r="D58" i="5"/>
  <c r="D57" i="5"/>
  <c r="C52" i="5"/>
  <c r="C77" i="5" s="1"/>
  <c r="C123" i="8"/>
  <c r="C122" i="8"/>
  <c r="C85" i="8"/>
  <c r="C76" i="8"/>
  <c r="C78" i="8" s="1"/>
  <c r="C73" i="8"/>
  <c r="C74" i="8" s="1"/>
  <c r="D61" i="8"/>
  <c r="D60" i="8"/>
  <c r="D59" i="8"/>
  <c r="D58" i="8"/>
  <c r="D57" i="8"/>
  <c r="C52" i="8"/>
  <c r="C77" i="8" s="1"/>
  <c r="C122" i="7"/>
  <c r="C123" i="7" s="1"/>
  <c r="C85" i="7"/>
  <c r="C90" i="7" s="1"/>
  <c r="C97" i="7" s="1"/>
  <c r="C76" i="7"/>
  <c r="C78" i="7" s="1"/>
  <c r="C73" i="7"/>
  <c r="C74" i="7" s="1"/>
  <c r="D61" i="7"/>
  <c r="D60" i="7"/>
  <c r="D59" i="7"/>
  <c r="D58" i="7"/>
  <c r="D57" i="7"/>
  <c r="C52" i="7"/>
  <c r="C77" i="7" s="1"/>
  <c r="C122" i="3"/>
  <c r="C123" i="3" s="1"/>
  <c r="C90" i="3"/>
  <c r="C97" i="3" s="1"/>
  <c r="C85" i="3"/>
  <c r="C76" i="3"/>
  <c r="C74" i="3"/>
  <c r="C73" i="3"/>
  <c r="D61" i="3"/>
  <c r="D60" i="3"/>
  <c r="D59" i="3"/>
  <c r="D58" i="3"/>
  <c r="D57" i="3"/>
  <c r="C52" i="3"/>
  <c r="C66" i="3" s="1"/>
  <c r="C31" i="3"/>
  <c r="C30" i="3"/>
  <c r="C90" i="6"/>
  <c r="C85" i="6"/>
  <c r="D55" i="6"/>
  <c r="D62" i="12" l="1"/>
  <c r="D67" i="12" s="1"/>
  <c r="C77" i="12"/>
  <c r="D62" i="9"/>
  <c r="D67" i="9" s="1"/>
  <c r="D55" i="3"/>
  <c r="D62" i="3" s="1"/>
  <c r="D67" i="3" s="1"/>
  <c r="C77" i="3"/>
  <c r="C66" i="12"/>
  <c r="C75" i="12"/>
  <c r="C79" i="12" s="1"/>
  <c r="D34" i="12"/>
  <c r="D76" i="12" s="1"/>
  <c r="C66" i="11"/>
  <c r="C75" i="11"/>
  <c r="C79" i="11" s="1"/>
  <c r="D34" i="11"/>
  <c r="D73" i="11" s="1"/>
  <c r="C79" i="10"/>
  <c r="C66" i="10"/>
  <c r="C75" i="10"/>
  <c r="D55" i="10"/>
  <c r="D62" i="10" s="1"/>
  <c r="D67" i="10" s="1"/>
  <c r="C77" i="9"/>
  <c r="D34" i="9"/>
  <c r="C90" i="9"/>
  <c r="C97" i="9" s="1"/>
  <c r="C75" i="9"/>
  <c r="C79" i="9"/>
  <c r="C66" i="5"/>
  <c r="C75" i="5"/>
  <c r="C79" i="5" s="1"/>
  <c r="D55" i="5"/>
  <c r="D62" i="5" s="1"/>
  <c r="D67" i="5" s="1"/>
  <c r="D34" i="8"/>
  <c r="D74" i="8" s="1"/>
  <c r="C90" i="8"/>
  <c r="C97" i="8" s="1"/>
  <c r="C66" i="8"/>
  <c r="C75" i="8"/>
  <c r="C79" i="8" s="1"/>
  <c r="C66" i="7"/>
  <c r="C75" i="7"/>
  <c r="C79" i="7" s="1"/>
  <c r="D55" i="7"/>
  <c r="D62" i="7" s="1"/>
  <c r="D67" i="7" s="1"/>
  <c r="C78" i="3"/>
  <c r="D29" i="3"/>
  <c r="C75" i="3"/>
  <c r="D31" i="3" l="1"/>
  <c r="D30" i="3"/>
  <c r="D73" i="12"/>
  <c r="D127" i="12"/>
  <c r="D39" i="12"/>
  <c r="D107" i="12"/>
  <c r="D131" i="12" s="1"/>
  <c r="D40" i="12"/>
  <c r="C40" i="12" s="1"/>
  <c r="C41" i="12" s="1"/>
  <c r="C65" i="12" s="1"/>
  <c r="D74" i="12"/>
  <c r="D77" i="12"/>
  <c r="D127" i="11"/>
  <c r="D39" i="11"/>
  <c r="D107" i="11"/>
  <c r="D131" i="11" s="1"/>
  <c r="D76" i="11"/>
  <c r="D40" i="11"/>
  <c r="C40" i="11" s="1"/>
  <c r="C41" i="11" s="1"/>
  <c r="C65" i="11" s="1"/>
  <c r="D74" i="11"/>
  <c r="D77" i="11"/>
  <c r="D127" i="9"/>
  <c r="D39" i="9"/>
  <c r="D107" i="9"/>
  <c r="D131" i="9" s="1"/>
  <c r="D40" i="9"/>
  <c r="C40" i="9" s="1"/>
  <c r="C41" i="9" s="1"/>
  <c r="C65" i="9" s="1"/>
  <c r="D76" i="9"/>
  <c r="D74" i="9"/>
  <c r="D77" i="9"/>
  <c r="D73" i="9"/>
  <c r="D73" i="8"/>
  <c r="D127" i="8"/>
  <c r="D39" i="8"/>
  <c r="D40" i="8"/>
  <c r="C40" i="8" s="1"/>
  <c r="C41" i="8" s="1"/>
  <c r="C65" i="8" s="1"/>
  <c r="D76" i="8"/>
  <c r="D77" i="8"/>
  <c r="C79" i="3"/>
  <c r="D41" i="12" l="1"/>
  <c r="D41" i="11"/>
  <c r="D34" i="10"/>
  <c r="D41" i="9"/>
  <c r="D127" i="5"/>
  <c r="D39" i="5"/>
  <c r="D73" i="5"/>
  <c r="D40" i="5"/>
  <c r="C40" i="5" s="1"/>
  <c r="C41" i="5" s="1"/>
  <c r="C65" i="5" s="1"/>
  <c r="D76" i="5"/>
  <c r="D74" i="5"/>
  <c r="D77" i="5"/>
  <c r="D41" i="8"/>
  <c r="D34" i="7"/>
  <c r="D34" i="3" l="1"/>
  <c r="D39" i="3" s="1"/>
  <c r="D65" i="12"/>
  <c r="D50" i="12"/>
  <c r="D45" i="12"/>
  <c r="D47" i="12"/>
  <c r="D75" i="12"/>
  <c r="D46" i="12"/>
  <c r="D78" i="12"/>
  <c r="D48" i="12"/>
  <c r="D49" i="12"/>
  <c r="D51" i="12"/>
  <c r="D44" i="12"/>
  <c r="D65" i="11"/>
  <c r="D51" i="11"/>
  <c r="D50" i="11"/>
  <c r="D78" i="11"/>
  <c r="D47" i="11"/>
  <c r="D45" i="11"/>
  <c r="D46" i="11"/>
  <c r="D48" i="11"/>
  <c r="D49" i="11"/>
  <c r="D44" i="11"/>
  <c r="D75" i="11"/>
  <c r="D127" i="10"/>
  <c r="D39" i="10"/>
  <c r="D73" i="10"/>
  <c r="D76" i="10"/>
  <c r="D107" i="10"/>
  <c r="D131" i="10" s="1"/>
  <c r="D40" i="10"/>
  <c r="C40" i="10" s="1"/>
  <c r="C41" i="10" s="1"/>
  <c r="C65" i="10" s="1"/>
  <c r="D74" i="10"/>
  <c r="D77" i="10"/>
  <c r="D65" i="9"/>
  <c r="D51" i="9"/>
  <c r="D50" i="9"/>
  <c r="D75" i="9"/>
  <c r="D78" i="9"/>
  <c r="D44" i="9"/>
  <c r="D45" i="9"/>
  <c r="D47" i="9"/>
  <c r="D46" i="9"/>
  <c r="D48" i="9"/>
  <c r="D49" i="9"/>
  <c r="D41" i="5"/>
  <c r="D65" i="8"/>
  <c r="D78" i="8"/>
  <c r="D47" i="8"/>
  <c r="D49" i="8"/>
  <c r="D48" i="8"/>
  <c r="D45" i="8"/>
  <c r="D44" i="8"/>
  <c r="D75" i="8"/>
  <c r="D50" i="8"/>
  <c r="D51" i="8"/>
  <c r="D46" i="8"/>
  <c r="D127" i="7"/>
  <c r="D39" i="7"/>
  <c r="D73" i="7"/>
  <c r="D74" i="7"/>
  <c r="D40" i="7"/>
  <c r="C40" i="7" s="1"/>
  <c r="C41" i="7" s="1"/>
  <c r="C65" i="7" s="1"/>
  <c r="D76" i="7"/>
  <c r="D77" i="7"/>
  <c r="D79" i="8" l="1"/>
  <c r="D129" i="8" s="1"/>
  <c r="D127" i="3"/>
  <c r="D40" i="3"/>
  <c r="C40" i="3" s="1"/>
  <c r="C41" i="3" s="1"/>
  <c r="C65" i="3" s="1"/>
  <c r="D73" i="3"/>
  <c r="D77" i="3"/>
  <c r="D74" i="3"/>
  <c r="D76" i="3"/>
  <c r="D41" i="3"/>
  <c r="D47" i="3" s="1"/>
  <c r="D79" i="12"/>
  <c r="D129" i="12" s="1"/>
  <c r="D52" i="12"/>
  <c r="D79" i="11"/>
  <c r="D129" i="11" s="1"/>
  <c r="D52" i="11"/>
  <c r="D41" i="10"/>
  <c r="D52" i="9"/>
  <c r="D79" i="9"/>
  <c r="D129" i="9" s="1"/>
  <c r="D65" i="5"/>
  <c r="D47" i="5"/>
  <c r="D44" i="5"/>
  <c r="D78" i="5"/>
  <c r="D46" i="5"/>
  <c r="D49" i="5"/>
  <c r="D51" i="5"/>
  <c r="D48" i="5"/>
  <c r="D50" i="5"/>
  <c r="D45" i="5"/>
  <c r="D75" i="5"/>
  <c r="D52" i="8"/>
  <c r="D41" i="7"/>
  <c r="D48" i="3" l="1"/>
  <c r="D45" i="3"/>
  <c r="D51" i="3"/>
  <c r="D49" i="3"/>
  <c r="D78" i="3"/>
  <c r="D46" i="3"/>
  <c r="D75" i="3"/>
  <c r="D44" i="3"/>
  <c r="D65" i="3"/>
  <c r="D50" i="3"/>
  <c r="D66" i="12"/>
  <c r="D68" i="12" s="1"/>
  <c r="D88" i="12"/>
  <c r="D66" i="11"/>
  <c r="D68" i="11" s="1"/>
  <c r="D88" i="11"/>
  <c r="D65" i="10"/>
  <c r="D51" i="10"/>
  <c r="D48" i="10"/>
  <c r="D49" i="10"/>
  <c r="D75" i="10"/>
  <c r="D79" i="10" s="1"/>
  <c r="D129" i="10" s="1"/>
  <c r="D47" i="10"/>
  <c r="D50" i="10"/>
  <c r="D44" i="10"/>
  <c r="D45" i="10"/>
  <c r="D46" i="10"/>
  <c r="D78" i="10"/>
  <c r="D66" i="9"/>
  <c r="D68" i="9" s="1"/>
  <c r="C93" i="9" s="1"/>
  <c r="D93" i="9" s="1"/>
  <c r="D88" i="9"/>
  <c r="D52" i="5"/>
  <c r="D79" i="5"/>
  <c r="D129" i="5" s="1"/>
  <c r="D66" i="8"/>
  <c r="D88" i="8"/>
  <c r="D65" i="7"/>
  <c r="D46" i="7"/>
  <c r="D49" i="7"/>
  <c r="D78" i="7"/>
  <c r="D45" i="7"/>
  <c r="D48" i="7"/>
  <c r="D51" i="7"/>
  <c r="D44" i="7"/>
  <c r="D75" i="7"/>
  <c r="D79" i="7" s="1"/>
  <c r="D129" i="7" s="1"/>
  <c r="D47" i="7"/>
  <c r="D50" i="7"/>
  <c r="D79" i="3" l="1"/>
  <c r="D129" i="3" s="1"/>
  <c r="D52" i="3"/>
  <c r="D128" i="12"/>
  <c r="D84" i="12"/>
  <c r="C93" i="12"/>
  <c r="D93" i="12" s="1"/>
  <c r="D89" i="12"/>
  <c r="D87" i="12"/>
  <c r="D85" i="12"/>
  <c r="D86" i="12"/>
  <c r="D128" i="11"/>
  <c r="D89" i="11"/>
  <c r="C93" i="11"/>
  <c r="D93" i="11" s="1"/>
  <c r="D85" i="11"/>
  <c r="D87" i="11"/>
  <c r="D84" i="11"/>
  <c r="D86" i="11"/>
  <c r="D52" i="10"/>
  <c r="D128" i="9"/>
  <c r="D89" i="9"/>
  <c r="D84" i="9"/>
  <c r="D86" i="9"/>
  <c r="D85" i="9"/>
  <c r="D87" i="9"/>
  <c r="D66" i="5"/>
  <c r="D68" i="5" s="1"/>
  <c r="D88" i="5"/>
  <c r="D52" i="7"/>
  <c r="D88" i="3" l="1"/>
  <c r="D66" i="3"/>
  <c r="D68" i="3" s="1"/>
  <c r="D84" i="3" s="1"/>
  <c r="D90" i="12"/>
  <c r="D97" i="12" s="1"/>
  <c r="C94" i="12"/>
  <c r="C98" i="12" s="1"/>
  <c r="D94" i="12"/>
  <c r="D98" i="12" s="1"/>
  <c r="D90" i="11"/>
  <c r="D97" i="11" s="1"/>
  <c r="D94" i="11"/>
  <c r="D98" i="11" s="1"/>
  <c r="C94" i="11"/>
  <c r="C98" i="11" s="1"/>
  <c r="D66" i="10"/>
  <c r="D68" i="10" s="1"/>
  <c r="D88" i="10"/>
  <c r="D90" i="9"/>
  <c r="D97" i="9" s="1"/>
  <c r="D94" i="9"/>
  <c r="D98" i="9" s="1"/>
  <c r="C94" i="9"/>
  <c r="C98" i="9" s="1"/>
  <c r="D128" i="5"/>
  <c r="D87" i="5"/>
  <c r="D86" i="5"/>
  <c r="D89" i="5"/>
  <c r="C93" i="5"/>
  <c r="D93" i="5" s="1"/>
  <c r="D84" i="5"/>
  <c r="D85" i="5"/>
  <c r="D66" i="7"/>
  <c r="D68" i="7" s="1"/>
  <c r="D88" i="7"/>
  <c r="D87" i="3" l="1"/>
  <c r="D85" i="3"/>
  <c r="D89" i="3"/>
  <c r="C93" i="3"/>
  <c r="D93" i="3" s="1"/>
  <c r="D94" i="3" s="1"/>
  <c r="D98" i="3" s="1"/>
  <c r="D128" i="3"/>
  <c r="D86" i="3"/>
  <c r="D99" i="12"/>
  <c r="D99" i="11"/>
  <c r="D130" i="11" s="1"/>
  <c r="D132" i="11" s="1"/>
  <c r="D128" i="10"/>
  <c r="D86" i="10"/>
  <c r="D89" i="10"/>
  <c r="D85" i="10"/>
  <c r="D87" i="10"/>
  <c r="D84" i="10"/>
  <c r="C93" i="10"/>
  <c r="D93" i="10" s="1"/>
  <c r="D99" i="9"/>
  <c r="D90" i="5"/>
  <c r="D97" i="5" s="1"/>
  <c r="D94" i="5"/>
  <c r="D98" i="5" s="1"/>
  <c r="C94" i="5"/>
  <c r="C98" i="5" s="1"/>
  <c r="D128" i="7"/>
  <c r="D87" i="7"/>
  <c r="D84" i="7"/>
  <c r="D86" i="7"/>
  <c r="D85" i="7"/>
  <c r="D89" i="7"/>
  <c r="C93" i="7"/>
  <c r="D93" i="7" s="1"/>
  <c r="D109" i="11" l="1"/>
  <c r="D114" i="11" s="1"/>
  <c r="D115" i="11" s="1"/>
  <c r="D116" i="11" s="1"/>
  <c r="D117" i="11" s="1"/>
  <c r="D99" i="5"/>
  <c r="D130" i="5" s="1"/>
  <c r="C94" i="3"/>
  <c r="C98" i="3" s="1"/>
  <c r="D90" i="3"/>
  <c r="D97" i="3" s="1"/>
  <c r="D99" i="3" s="1"/>
  <c r="D130" i="12"/>
  <c r="D132" i="12" s="1"/>
  <c r="D109" i="12"/>
  <c r="D94" i="10"/>
  <c r="D98" i="10" s="1"/>
  <c r="C94" i="10"/>
  <c r="C98" i="10" s="1"/>
  <c r="D90" i="10"/>
  <c r="D97" i="10" s="1"/>
  <c r="D130" i="9"/>
  <c r="D132" i="9" s="1"/>
  <c r="D109" i="9"/>
  <c r="D94" i="7"/>
  <c r="D98" i="7" s="1"/>
  <c r="C94" i="7"/>
  <c r="C98" i="7" s="1"/>
  <c r="D90" i="7"/>
  <c r="D97" i="7" s="1"/>
  <c r="D99" i="7" l="1"/>
  <c r="D114" i="12"/>
  <c r="D115" i="12" s="1"/>
  <c r="D116" i="12" s="1"/>
  <c r="D117" i="12" s="1"/>
  <c r="D120" i="11"/>
  <c r="D121" i="11"/>
  <c r="D119" i="11"/>
  <c r="D99" i="10"/>
  <c r="D114" i="9"/>
  <c r="D115" i="9" s="1"/>
  <c r="D116" i="9" s="1"/>
  <c r="D117" i="9" s="1"/>
  <c r="D130" i="7"/>
  <c r="D130" i="3"/>
  <c r="D121" i="12" l="1"/>
  <c r="D120" i="12"/>
  <c r="D119" i="12"/>
  <c r="D122" i="11"/>
  <c r="D123" i="11" s="1"/>
  <c r="D133" i="11" s="1"/>
  <c r="D134" i="11" s="1"/>
  <c r="D135" i="11" s="1"/>
  <c r="D130" i="10"/>
  <c r="D132" i="10" s="1"/>
  <c r="D109" i="10"/>
  <c r="D120" i="9"/>
  <c r="D121" i="9"/>
  <c r="D119" i="9"/>
  <c r="D122" i="12" l="1"/>
  <c r="D123" i="12" s="1"/>
  <c r="D133" i="12" s="1"/>
  <c r="D134" i="12" s="1"/>
  <c r="D135" i="12" s="1"/>
  <c r="D114" i="10"/>
  <c r="D115" i="10" s="1"/>
  <c r="D116" i="10" s="1"/>
  <c r="D117" i="10" s="1"/>
  <c r="D122" i="9"/>
  <c r="D123" i="9" s="1"/>
  <c r="D133" i="9" s="1"/>
  <c r="D134" i="9" s="1"/>
  <c r="D135" i="9" s="1"/>
  <c r="D121" i="10" l="1"/>
  <c r="D119" i="10"/>
  <c r="D120" i="10"/>
  <c r="D122" i="10" l="1"/>
  <c r="D123" i="10" s="1"/>
  <c r="D133" i="10" s="1"/>
  <c r="D134" i="10" s="1"/>
  <c r="D135" i="10" s="1"/>
  <c r="D60" i="6" l="1"/>
  <c r="D58" i="6"/>
  <c r="D59" i="6"/>
  <c r="D61" i="6"/>
  <c r="C122" i="6"/>
  <c r="C123" i="6" s="1"/>
  <c r="C97" i="6"/>
  <c r="C76" i="6"/>
  <c r="C78" i="6" s="1"/>
  <c r="C73" i="6"/>
  <c r="C74" i="6" s="1"/>
  <c r="D57" i="6"/>
  <c r="C52" i="6"/>
  <c r="D62" i="6" l="1"/>
  <c r="D67" i="6" s="1"/>
  <c r="C75" i="6"/>
  <c r="C77" i="6"/>
  <c r="C66" i="6"/>
  <c r="C79" i="6" l="1"/>
  <c r="D34" i="6" l="1"/>
  <c r="D74" i="6" l="1"/>
  <c r="D73" i="6"/>
  <c r="D127" i="6"/>
  <c r="D40" i="6"/>
  <c r="C40" i="6" s="1"/>
  <c r="C41" i="6" s="1"/>
  <c r="C65" i="6" s="1"/>
  <c r="D76" i="6"/>
  <c r="D39" i="6"/>
  <c r="D77" i="6"/>
  <c r="D41" i="6" l="1"/>
  <c r="D75" i="6" s="1"/>
  <c r="D44" i="6" l="1"/>
  <c r="D50" i="6"/>
  <c r="D48" i="6"/>
  <c r="D49" i="6"/>
  <c r="D46" i="6"/>
  <c r="D47" i="6"/>
  <c r="D78" i="6"/>
  <c r="D79" i="6" s="1"/>
  <c r="D129" i="6" s="1"/>
  <c r="D51" i="6"/>
  <c r="D65" i="6"/>
  <c r="D45" i="6"/>
  <c r="D52" i="6" l="1"/>
  <c r="D66" i="6" s="1"/>
  <c r="D68" i="6" s="1"/>
  <c r="C93" i="6" s="1"/>
  <c r="D93" i="6" s="1"/>
  <c r="C94" i="6" s="1"/>
  <c r="D88" i="6" l="1"/>
  <c r="C98" i="6"/>
  <c r="D94" i="6"/>
  <c r="D98" i="6" s="1"/>
  <c r="D128" i="6"/>
  <c r="D85" i="6"/>
  <c r="D87" i="6"/>
  <c r="D86" i="6"/>
  <c r="D89" i="6"/>
  <c r="D84" i="6"/>
  <c r="D90" i="6" l="1"/>
  <c r="D97" i="6" s="1"/>
  <c r="D99" i="6" s="1"/>
  <c r="D130" i="6" l="1"/>
  <c r="D62" i="8" l="1"/>
  <c r="D67" i="8" s="1"/>
  <c r="D68" i="8" s="1"/>
  <c r="D87" i="8" l="1"/>
  <c r="D86" i="8"/>
  <c r="D85" i="8"/>
  <c r="C93" i="8"/>
  <c r="D93" i="8" s="1"/>
  <c r="D128" i="8"/>
  <c r="D89" i="8"/>
  <c r="D84" i="8"/>
  <c r="D90" i="8" s="1"/>
  <c r="D97" i="8" s="1"/>
  <c r="D94" i="8" l="1"/>
  <c r="D98" i="8" s="1"/>
  <c r="D99" i="8" s="1"/>
  <c r="C94" i="8"/>
  <c r="C98" i="8" s="1"/>
  <c r="D130" i="8" l="1"/>
  <c r="M21" i="2" l="1"/>
  <c r="D105" i="3" l="1"/>
  <c r="D107" i="3" s="1"/>
  <c r="D105" i="7"/>
  <c r="D107" i="7" s="1"/>
  <c r="D105" i="5"/>
  <c r="D107" i="5" s="1"/>
  <c r="D105" i="8"/>
  <c r="D107" i="8" s="1"/>
  <c r="D105" i="6"/>
  <c r="D107" i="6" s="1"/>
  <c r="D131" i="8" l="1"/>
  <c r="D132" i="8" s="1"/>
  <c r="D109" i="8"/>
  <c r="D114" i="8" s="1"/>
  <c r="D115" i="8" s="1"/>
  <c r="D116" i="8" s="1"/>
  <c r="D117" i="8" s="1"/>
  <c r="D131" i="5"/>
  <c r="D132" i="5" s="1"/>
  <c r="D109" i="5"/>
  <c r="D114" i="5" s="1"/>
  <c r="D115" i="5" s="1"/>
  <c r="D116" i="5" s="1"/>
  <c r="D117" i="5" s="1"/>
  <c r="D131" i="7"/>
  <c r="D132" i="7" s="1"/>
  <c r="D109" i="7"/>
  <c r="D114" i="7" s="1"/>
  <c r="D115" i="7" s="1"/>
  <c r="D116" i="7" s="1"/>
  <c r="D117" i="7" s="1"/>
  <c r="D131" i="6"/>
  <c r="D132" i="6" s="1"/>
  <c r="D109" i="6"/>
  <c r="D114" i="6" s="1"/>
  <c r="D115" i="6" s="1"/>
  <c r="D116" i="6" s="1"/>
  <c r="D117" i="6" s="1"/>
  <c r="D131" i="3"/>
  <c r="D132" i="3" s="1"/>
  <c r="D109" i="3"/>
  <c r="D114" i="3" s="1"/>
  <c r="D115" i="3" s="1"/>
  <c r="D116" i="3" s="1"/>
  <c r="D117" i="3" s="1"/>
  <c r="D120" i="3" l="1"/>
  <c r="D119" i="3"/>
  <c r="D121" i="3"/>
  <c r="D121" i="7"/>
  <c r="D120" i="7"/>
  <c r="D119" i="7"/>
  <c r="D120" i="8"/>
  <c r="D121" i="8"/>
  <c r="D119" i="8"/>
  <c r="D122" i="8" s="1"/>
  <c r="D123" i="8" s="1"/>
  <c r="D133" i="8" s="1"/>
  <c r="D134" i="8" s="1"/>
  <c r="D135" i="8" s="1"/>
  <c r="D121" i="5"/>
  <c r="D120" i="5"/>
  <c r="D119" i="5"/>
  <c r="D119" i="6"/>
  <c r="D121" i="6"/>
  <c r="D120" i="6"/>
  <c r="D122" i="6" l="1"/>
  <c r="D123" i="6" s="1"/>
  <c r="D133" i="6" s="1"/>
  <c r="D134" i="6" s="1"/>
  <c r="D135" i="6" s="1"/>
  <c r="D122" i="5"/>
  <c r="D123" i="5" s="1"/>
  <c r="D133" i="5" s="1"/>
  <c r="D134" i="5" s="1"/>
  <c r="D135" i="5" s="1"/>
  <c r="D122" i="3"/>
  <c r="D123" i="3" s="1"/>
  <c r="D133" i="3" s="1"/>
  <c r="D134" i="3" s="1"/>
  <c r="D135" i="3" s="1"/>
  <c r="D122" i="7"/>
  <c r="D123" i="7" s="1"/>
  <c r="D133" i="7" s="1"/>
  <c r="D134" i="7" s="1"/>
  <c r="D135" i="7" s="1"/>
  <c r="E6" i="1" l="1"/>
  <c r="D21" i="1"/>
  <c r="F21" i="1" s="1"/>
  <c r="F22" i="1" s="1"/>
  <c r="G7" i="1"/>
  <c r="G8" i="1" s="1"/>
</calcChain>
</file>

<file path=xl/sharedStrings.xml><?xml version="1.0" encoding="utf-8"?>
<sst xmlns="http://schemas.openxmlformats.org/spreadsheetml/2006/main" count="1969" uniqueCount="205">
  <si>
    <t>PLANILHA DE CUSTOS E FORMAÇÃO DE PREÇOS</t>
  </si>
  <si>
    <t xml:space="preserve">Nº Processo </t>
  </si>
  <si>
    <t xml:space="preserve">Licitação </t>
  </si>
  <si>
    <t>Discriminação dos Serviços (dados referentes à contratação)</t>
  </si>
  <si>
    <t xml:space="preserve">A 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</si>
  <si>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</si>
  <si>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</si>
  <si>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</si>
  <si>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</si>
  <si>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</si>
  <si>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</si>
  <si>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</si>
  <si>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</si>
  <si>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</si>
  <si>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</si>
  <si>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</si>
  <si>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</si>
  <si>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</si>
  <si>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</si>
  <si>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</si>
  <si>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</si>
  <si>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</si>
  <si>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Quantidade</t>
  </si>
  <si>
    <t>Classificação Brasileira de Ocupações</t>
  </si>
  <si>
    <t>Dados complementares para composição dos custos referente à mão-de-obra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</si>
  <si>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</si>
  <si>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</si>
  <si>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</si>
  <si>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</si>
  <si>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</si>
  <si>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</si>
  <si>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</si>
  <si>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</si>
  <si>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</si>
  <si>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Outros (especificar)</t>
  </si>
  <si>
    <t>Total da Remuneração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</si>
  <si>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</si>
  <si>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</si>
  <si>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</si>
  <si>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</si>
  <si>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</si>
  <si>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Férias e Adicional de Férias</t>
  </si>
  <si>
    <t>Total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</si>
  <si>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</si>
  <si>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</si>
  <si>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</si>
  <si>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</si>
  <si>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</si>
  <si>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</si>
  <si>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</si>
  <si>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</si>
  <si>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</si>
  <si>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</si>
  <si>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</si>
  <si>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 xml:space="preserve">2.3 </t>
  </si>
  <si>
    <t>Benefícios Mensais e Diários</t>
  </si>
  <si>
    <t>Valor unitário</t>
  </si>
  <si>
    <t>Assistência Médica e Familiar</t>
  </si>
  <si>
    <t>Total de Encargos e Benefícios</t>
  </si>
  <si>
    <t>Quadro-Resumo - Módulo 2 - Encargos e Benefícios Anuais, Mensais e Diários</t>
  </si>
  <si>
    <t>2.1</t>
  </si>
  <si>
    <t>2.3</t>
  </si>
  <si>
    <t>Provisão para Rescisão</t>
  </si>
  <si>
    <t>(Abrir fórmula e alterar o percentual - padrão 10%)</t>
  </si>
  <si>
    <t>Incidência do FGTS sobre o Aviso Prévio Indenizado</t>
  </si>
  <si>
    <t>Multa do FGTS e contribuição social sobre o Aviso Prévio Indenizado</t>
  </si>
  <si>
    <t>(Abrir fórmula e alterar o percentual - padrão 90%)</t>
  </si>
  <si>
    <t>Incidência dos encargos do submódulo 2.2 sobre o Aviso Prévio Trabalhado</t>
  </si>
  <si>
    <t>Multa do FGTS e contribuição social sobre o Aviso PrévioTrabalhado</t>
  </si>
  <si>
    <t>Total de Provisão para Rescisão</t>
  </si>
  <si>
    <t>MÓDULO 4 - CUSTO DE REPOSIÇÃO DO PROFISSIONAL AUSENTE</t>
  </si>
  <si>
    <t>4.1</t>
  </si>
  <si>
    <t>Ausências Legais</t>
  </si>
  <si>
    <t>Substituto - Cobertura Férias</t>
  </si>
  <si>
    <t>Substituto - Cobertura Licença-Paternidade</t>
  </si>
  <si>
    <t>Substituto - Cobertura Ausência por acidente de trabalho</t>
  </si>
  <si>
    <t>Substituto - Cobertura Afastamento Maternidade</t>
  </si>
  <si>
    <t>4.2</t>
  </si>
  <si>
    <t>Intrajornada</t>
  </si>
  <si>
    <t>Quadro-Resumo - Módulo 4 - Custo de Reposição do Profissional Ausente</t>
  </si>
  <si>
    <t>Total de Custo de Reposição do Profissional Ausente</t>
  </si>
  <si>
    <t>MÓDULO 5 - INSUMOS DIVERSOS</t>
  </si>
  <si>
    <t>Insumos Diversos</t>
  </si>
  <si>
    <t>Uniformes e EPI</t>
  </si>
  <si>
    <t>Materiais/Ferramentas</t>
  </si>
  <si>
    <t>Total de Insumos Diversos</t>
  </si>
  <si>
    <t>TOTAL PARCIAL: MÓDULO 1 + 2 + 3 + 4+ 5</t>
  </si>
  <si>
    <t>MÓDULO 6 - CUSTOS DIRETOS, TRIBUTOS E LUCRO</t>
  </si>
  <si>
    <t>Custos Indiretos, Tributos e Lucro</t>
  </si>
  <si>
    <t>Custos Indiretos</t>
  </si>
  <si>
    <t>Subtotal</t>
  </si>
  <si>
    <t>Lucro</t>
  </si>
  <si>
    <t>Tributos</t>
  </si>
  <si>
    <t>PIS</t>
  </si>
  <si>
    <t>COFINS</t>
  </si>
  <si>
    <t>ISS</t>
  </si>
  <si>
    <t>Total de Tributos</t>
  </si>
  <si>
    <t>Total de Custos Indiretos, Tributos e Lucro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</si>
  <si>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</si>
  <si>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</si>
  <si>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</si>
  <si>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</si>
  <si>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</si>
  <si>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</si>
  <si>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</si>
  <si>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</si>
  <si>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</si>
  <si>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</si>
  <si>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</si>
  <si>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MS000170/2018</t>
  </si>
  <si>
    <t>CBO-5173-30</t>
  </si>
  <si>
    <t>Vigilante</t>
  </si>
  <si>
    <t>Campo Grande - Mato Grosso do Sul</t>
  </si>
  <si>
    <t>Posto</t>
  </si>
  <si>
    <t>Vigilante 12x36</t>
  </si>
  <si>
    <t>Transporte (valor unitário)</t>
  </si>
  <si>
    <t>Creche</t>
  </si>
  <si>
    <t>Seguro de Vida</t>
  </si>
  <si>
    <t>Programa Familiar</t>
  </si>
  <si>
    <t>Outros</t>
  </si>
  <si>
    <t>08335.003987/2019-62</t>
  </si>
  <si>
    <r>
      <rPr>
        <sz val="10"/>
        <color rgb="FFFF0000"/>
        <rFont val="Times New Roman"/>
        <family val="1"/>
      </rPr>
      <t>XX</t>
    </r>
    <r>
      <rPr>
        <sz val="10"/>
        <color rgb="FF000000"/>
        <rFont val="Times New Roman"/>
        <family val="1"/>
      </rPr>
      <t>/2019</t>
    </r>
  </si>
  <si>
    <t>Valor Total Mensal por Posto</t>
  </si>
  <si>
    <r>
      <t>Aviso Prévio Trabalhado</t>
    </r>
    <r>
      <rPr>
        <sz val="10"/>
        <color rgb="FFFF0000"/>
        <rFont val="Times New Roman"/>
        <family val="1"/>
      </rPr>
      <t xml:space="preserve"> (8,23%)</t>
    </r>
  </si>
  <si>
    <r>
      <t>Aviso Prévio Indenizado</t>
    </r>
    <r>
      <rPr>
        <sz val="10"/>
        <color rgb="FFFF0000"/>
        <rFont val="Times New Roman"/>
        <family val="1"/>
      </rPr>
      <t xml:space="preserve"> (74,10%)</t>
    </r>
  </si>
  <si>
    <r>
      <t xml:space="preserve">MÓDULO 3 - PROVISÃO PARA RESCISÃO </t>
    </r>
    <r>
      <rPr>
        <b/>
        <sz val="10"/>
        <color rgb="FFFF0000"/>
        <rFont val="Times New Roman"/>
        <family val="1"/>
      </rPr>
      <t>(82,33%)</t>
    </r>
  </si>
  <si>
    <t>Adicional Noturno (Art. 59-A c/c Art. 73CLT - 7 horas noturnas*20%)</t>
  </si>
  <si>
    <t>Adicional Hora Noturna Reduzida (60 minutos / 52,5 minutos =
114%) - 8,33% x 1,20</t>
  </si>
  <si>
    <r>
      <t>Substituto - Cobertura Ausências Legais</t>
    </r>
    <r>
      <rPr>
        <sz val="10"/>
        <color rgb="FFFF0000"/>
        <rFont val="Times New Roman"/>
        <family val="1"/>
      </rPr>
      <t xml:space="preserve"> (soma % Estudo MPDG)</t>
    </r>
  </si>
  <si>
    <t>Intervalo para repouso ou alimentação ($ hr/dia * 15)</t>
  </si>
  <si>
    <t>Quantidade (total) a contratar</t>
  </si>
  <si>
    <t>Três Lagoas - Mato Grosso do Sul</t>
  </si>
  <si>
    <t>Naviraí - Mato Grosso do Sul</t>
  </si>
  <si>
    <t>Dourados - Mato Grosso do Sul</t>
  </si>
  <si>
    <t>Ponta Porã - Mato Grosso do Sul</t>
  </si>
  <si>
    <t>Corumbá - Mato Grosso do Sul</t>
  </si>
  <si>
    <t>MS000171/2018</t>
  </si>
  <si>
    <t>-</t>
  </si>
  <si>
    <r>
      <t>Substituto - Cobertura Férias</t>
    </r>
    <r>
      <rPr>
        <sz val="10"/>
        <color rgb="FFFF0000"/>
        <rFont val="Times New Roman"/>
        <family val="1"/>
      </rPr>
      <t xml:space="preserve"> (9,075% cfe. IN 05/2017 SEGES)</t>
    </r>
  </si>
  <si>
    <r>
      <t xml:space="preserve">Substituto - Cobertura Férias </t>
    </r>
    <r>
      <rPr>
        <sz val="10"/>
        <color rgb="FFFF0000"/>
        <rFont val="Times New Roman"/>
        <family val="1"/>
      </rPr>
      <t xml:space="preserve"> (9,075% cfe. IN 05/2017 SEGES)</t>
    </r>
  </si>
  <si>
    <t>Quadro-resumo – VALOR MENSAL DOS SERVIÇOS</t>
  </si>
  <si>
    <t>Tipo de Serviço (A)</t>
  </si>
  <si>
    <t>Qtde de postos        (E)</t>
  </si>
  <si>
    <t>VIGILANTE ARMADO DIURNO 12X36</t>
  </si>
  <si>
    <t>VIGILANTE ARMADO NOTURNO 12X36</t>
  </si>
  <si>
    <t>VALOR MENSAL DOS POSTOS</t>
  </si>
  <si>
    <t>MÓDULO 4:   ENCARGOS SOCIAIS E TRABALHISTAS</t>
  </si>
  <si>
    <t>VALOR TOTAL</t>
  </si>
  <si>
    <t>Transporte (valor unitário) (15,22 dias)</t>
  </si>
  <si>
    <t>MÓDULO 5</t>
  </si>
  <si>
    <t>UNIFORMES - COMPOSIÇÃO - VALOR ANUAL</t>
  </si>
  <si>
    <t>ITEM</t>
  </si>
  <si>
    <t>QTDE</t>
  </si>
  <si>
    <t>TOTAL</t>
  </si>
  <si>
    <t>Calça</t>
  </si>
  <si>
    <t>Camisa</t>
  </si>
  <si>
    <t>Sapato</t>
  </si>
  <si>
    <t>Cinto de Nylon</t>
  </si>
  <si>
    <t>Distintivo tipo Broche</t>
  </si>
  <si>
    <t>Japona</t>
  </si>
  <si>
    <t>Meia</t>
  </si>
  <si>
    <t>Boné</t>
  </si>
  <si>
    <t>Crachá</t>
  </si>
  <si>
    <t>CUSTO TOTAL POR FUNCIONÁRIO</t>
  </si>
  <si>
    <t>CUSTO MENSAL</t>
  </si>
  <si>
    <t>Porta Cassetete</t>
  </si>
  <si>
    <t>Apito</t>
  </si>
  <si>
    <t>Cordão Apito</t>
  </si>
  <si>
    <t>Capa de Nylon</t>
  </si>
  <si>
    <t>Rádio</t>
  </si>
  <si>
    <t>Coldre</t>
  </si>
  <si>
    <t>Munição calibre 38</t>
  </si>
  <si>
    <t>Colete Nível II-A</t>
  </si>
  <si>
    <t>Livro de ocorrência</t>
  </si>
  <si>
    <t>Lanterna</t>
  </si>
  <si>
    <t>Pilhas/Bateria p/ Lanterna</t>
  </si>
  <si>
    <t>Cassetete</t>
  </si>
  <si>
    <t>Revólver 38.</t>
  </si>
  <si>
    <t>Cinturão p/ revólver</t>
  </si>
  <si>
    <t>DURAÇÃO DOS ITENS (VIDA ÚTIL)</t>
  </si>
  <si>
    <t>VALOR POR EMPREGADO</t>
  </si>
  <si>
    <t>DEPRECIAÇÃO</t>
  </si>
  <si>
    <t>Equipamentos - Vigilância</t>
  </si>
  <si>
    <t>Transporte (Cidade de Naviraí não dispõe "Coletivo" - R$ 80,09 a R$ 234,93 - Cláusula XVI da CCT)</t>
  </si>
  <si>
    <r>
      <t xml:space="preserve">Auxílio-Alimentação (15,22 dias) </t>
    </r>
    <r>
      <rPr>
        <sz val="10"/>
        <color rgb="FFFF0000"/>
        <rFont val="Times New Roman"/>
        <family val="1"/>
      </rPr>
      <t>- Desconto de 1% (Cláusula XV-3º)</t>
    </r>
  </si>
  <si>
    <t>Adicional de Feriado - (dobro /3 dias) Cláusula XXXII §4º da CCT</t>
  </si>
  <si>
    <t>Materiais/Ferramentas (vide Item 9.2.2 do TR)</t>
  </si>
  <si>
    <t>VALOR UNUTÁRIO</t>
  </si>
  <si>
    <t>VALOR UNITÁRIO</t>
  </si>
  <si>
    <t>SR Noturno</t>
  </si>
  <si>
    <t>PROPOSTA</t>
  </si>
  <si>
    <t>ANEXO  I</t>
  </si>
  <si>
    <t>PPA Noturno</t>
  </si>
  <si>
    <t>DRS Noturno</t>
  </si>
  <si>
    <t>NVI Noturno</t>
  </si>
  <si>
    <t>SR Diurno</t>
  </si>
  <si>
    <t>TLS Diurno</t>
  </si>
  <si>
    <t>PPA Diurno</t>
  </si>
  <si>
    <t>DRS Diurno</t>
  </si>
  <si>
    <t>Proposta por posto</t>
  </si>
  <si>
    <t>Valor Mensal total do Serviço</t>
  </si>
  <si>
    <t>Média proposta por posto</t>
  </si>
  <si>
    <t>Qtde de empregados por posto</t>
  </si>
  <si>
    <t>Qtde de postos</t>
  </si>
  <si>
    <t>CRA Diurno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</si>
</sst>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  <numFmt numFmtId="165" formatCode="0.0%"/>
    <numFmt numFmtId="166" formatCode="0.000%"/>
    <numFmt numFmtId="167" formatCode="&quot;R$&quot;\ #,##0.00"/>
    <numFmt numFmtId="168" formatCode="&quot;R$&quot;#,##0.00;[Red]\-&quot;R$&quot;#,##0.00"/>
    <numFmt numFmtId="169" formatCode="0.0000%"/>
    <numFmt numFmtId="170" formatCode="_(* #,##0.00_);_(* \(#,##0.00\);_(* &quot;-&quot;??_);_(@_)"/>
    <numFmt numFmtId="171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sz val="12"/>
      <color rgb="FF00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</cellStyleXfs>
  <cellXfs count="353">
    <xf numFmtId="0" fontId="0" fillId="0" borderId="0" xfId="0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4" fontId="5" fillId="5" borderId="1" xfId="3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justify"/>
      <protection locked="0"/>
    </xf>
    <xf numFmtId="14" fontId="7" fillId="5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vertical="center"/>
      <protection locked="0"/>
    </xf>
    <xf numFmtId="9" fontId="4" fillId="5" borderId="1" xfId="0" applyNumberFormat="1" applyFont="1" applyFill="1" applyBorder="1" applyAlignment="1" applyProtection="1">
      <alignment horizontal="center" vertical="center"/>
      <protection locked="0"/>
    </xf>
    <xf numFmtId="43" fontId="9" fillId="3" borderId="1" xfId="1" applyFont="1" applyFill="1" applyBorder="1" applyAlignment="1">
      <alignment vertical="center"/>
    </xf>
    <xf numFmtId="8" fontId="3" fillId="7" borderId="1" xfId="0" applyNumberFormat="1" applyFont="1" applyFill="1" applyBorder="1" applyAlignment="1">
      <alignment horizontal="center" vertical="center"/>
    </xf>
    <xf numFmtId="8" fontId="3" fillId="7" borderId="1" xfId="0" applyNumberFormat="1" applyFont="1" applyFill="1" applyBorder="1" applyAlignment="1">
      <alignment horizontal="left" vertical="center"/>
    </xf>
    <xf numFmtId="8" fontId="4" fillId="0" borderId="1" xfId="0" applyNumberFormat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left" vertical="center"/>
    </xf>
    <xf numFmtId="10" fontId="4" fillId="4" borderId="1" xfId="2" applyNumberFormat="1" applyFont="1" applyFill="1" applyBorder="1" applyAlignment="1" applyProtection="1">
      <alignment horizontal="center" vertical="center"/>
    </xf>
    <xf numFmtId="8" fontId="4" fillId="0" borderId="1" xfId="0" applyNumberFormat="1" applyFont="1" applyBorder="1" applyAlignment="1">
      <alignment horizontal="right" vertical="center"/>
    </xf>
    <xf numFmtId="10" fontId="3" fillId="3" borderId="1" xfId="2" applyNumberFormat="1" applyFont="1" applyFill="1" applyBorder="1" applyAlignment="1">
      <alignment horizontal="center" vertical="center"/>
    </xf>
    <xf numFmtId="8" fontId="3" fillId="3" borderId="1" xfId="0" applyNumberFormat="1" applyFont="1" applyFill="1" applyBorder="1" applyAlignment="1">
      <alignment horizontal="right" vertical="center"/>
    </xf>
    <xf numFmtId="8" fontId="3" fillId="3" borderId="1" xfId="0" applyNumberFormat="1" applyFont="1" applyFill="1" applyBorder="1" applyAlignment="1">
      <alignment horizontal="center" vertical="center"/>
    </xf>
    <xf numFmtId="8" fontId="3" fillId="3" borderId="4" xfId="0" applyNumberFormat="1" applyFont="1" applyFill="1" applyBorder="1" applyAlignment="1">
      <alignment horizontal="left" vertical="center"/>
    </xf>
    <xf numFmtId="8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0" fontId="7" fillId="0" borderId="7" xfId="4" applyNumberFormat="1" applyFont="1" applyFill="1" applyBorder="1" applyAlignment="1" applyProtection="1">
      <alignment horizontal="center" vertical="center"/>
    </xf>
    <xf numFmtId="10" fontId="7" fillId="4" borderId="7" xfId="4" applyNumberFormat="1" applyFont="1" applyFill="1" applyBorder="1" applyAlignment="1" applyProtection="1">
      <alignment horizontal="center" vertical="center"/>
    </xf>
    <xf numFmtId="165" fontId="7" fillId="5" borderId="7" xfId="2" applyNumberFormat="1" applyFont="1" applyFill="1" applyBorder="1" applyAlignment="1" applyProtection="1">
      <alignment horizontal="center" vertical="center"/>
      <protection locked="0"/>
    </xf>
    <xf numFmtId="10" fontId="3" fillId="3" borderId="3" xfId="2" applyNumberFormat="1" applyFont="1" applyFill="1" applyBorder="1" applyAlignment="1">
      <alignment horizontal="center" vertical="center"/>
    </xf>
    <xf numFmtId="8" fontId="4" fillId="4" borderId="3" xfId="0" applyNumberFormat="1" applyFont="1" applyFill="1" applyBorder="1" applyAlignment="1" applyProtection="1">
      <alignment horizontal="center" vertical="center"/>
    </xf>
    <xf numFmtId="8" fontId="6" fillId="0" borderId="1" xfId="0" applyNumberFormat="1" applyFont="1" applyFill="1" applyBorder="1" applyAlignment="1">
      <alignment horizontal="right" vertical="center"/>
    </xf>
    <xf numFmtId="8" fontId="4" fillId="5" borderId="3" xfId="0" applyNumberFormat="1" applyFont="1" applyFill="1" applyBorder="1" applyAlignment="1" applyProtection="1">
      <alignment horizontal="center" vertical="center"/>
      <protection locked="0"/>
    </xf>
    <xf numFmtId="8" fontId="3" fillId="0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 applyProtection="1">
      <alignment vertical="center" wrapText="1"/>
      <protection locked="0"/>
    </xf>
    <xf numFmtId="10" fontId="4" fillId="0" borderId="3" xfId="2" applyNumberFormat="1" applyFont="1" applyBorder="1" applyAlignment="1">
      <alignment horizontal="center" vertical="center"/>
    </xf>
    <xf numFmtId="8" fontId="4" fillId="0" borderId="3" xfId="0" applyNumberFormat="1" applyFont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66" fontId="4" fillId="5" borderId="3" xfId="2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/>
    <xf numFmtId="166" fontId="4" fillId="0" borderId="3" xfId="2" applyNumberFormat="1" applyFont="1" applyFill="1" applyBorder="1" applyAlignment="1">
      <alignment horizontal="center" vertical="center"/>
    </xf>
    <xf numFmtId="10" fontId="4" fillId="0" borderId="3" xfId="2" applyNumberFormat="1" applyFont="1" applyFill="1" applyBorder="1" applyAlignment="1">
      <alignment horizontal="center" vertical="center"/>
    </xf>
    <xf numFmtId="10" fontId="4" fillId="5" borderId="3" xfId="2" applyNumberFormat="1" applyFont="1" applyFill="1" applyBorder="1" applyAlignment="1" applyProtection="1">
      <alignment horizontal="center" vertical="center"/>
      <protection locked="0"/>
    </xf>
    <xf numFmtId="166" fontId="4" fillId="4" borderId="3" xfId="2" applyNumberFormat="1" applyFont="1" applyFill="1" applyBorder="1" applyAlignment="1" applyProtection="1">
      <alignment horizontal="center" vertical="center"/>
    </xf>
    <xf numFmtId="8" fontId="4" fillId="0" borderId="1" xfId="0" applyNumberFormat="1" applyFont="1" applyFill="1" applyBorder="1" applyAlignment="1">
      <alignment horizontal="right" vertical="center"/>
    </xf>
    <xf numFmtId="8" fontId="4" fillId="4" borderId="1" xfId="0" applyNumberFormat="1" applyFont="1" applyFill="1" applyBorder="1" applyAlignment="1">
      <alignment horizontal="right" vertical="center"/>
    </xf>
    <xf numFmtId="8" fontId="3" fillId="3" borderId="1" xfId="0" applyNumberFormat="1" applyFont="1" applyFill="1" applyBorder="1" applyAlignment="1">
      <alignment horizontal="left" vertical="center"/>
    </xf>
    <xf numFmtId="8" fontId="4" fillId="0" borderId="1" xfId="0" applyNumberFormat="1" applyFont="1" applyFill="1" applyBorder="1" applyAlignment="1">
      <alignment horizontal="center" vertical="center"/>
    </xf>
    <xf numFmtId="8" fontId="4" fillId="0" borderId="1" xfId="0" applyNumberFormat="1" applyFont="1" applyFill="1" applyBorder="1" applyAlignment="1">
      <alignment horizontal="left" vertical="center"/>
    </xf>
    <xf numFmtId="8" fontId="3" fillId="3" borderId="1" xfId="0" applyNumberFormat="1" applyFont="1" applyFill="1" applyBorder="1" applyAlignment="1">
      <alignment vertical="center"/>
    </xf>
    <xf numFmtId="10" fontId="4" fillId="0" borderId="1" xfId="2" applyNumberFormat="1" applyFont="1" applyFill="1" applyBorder="1" applyAlignment="1">
      <alignment horizontal="center" vertical="center"/>
    </xf>
    <xf numFmtId="9" fontId="3" fillId="3" borderId="1" xfId="2" applyFont="1" applyFill="1" applyBorder="1" applyAlignment="1">
      <alignment horizontal="center" vertical="center"/>
    </xf>
    <xf numFmtId="8" fontId="4" fillId="4" borderId="1" xfId="0" applyNumberFormat="1" applyFont="1" applyFill="1" applyBorder="1" applyAlignment="1" applyProtection="1">
      <alignment horizontal="right" vertical="center"/>
    </xf>
    <xf numFmtId="8" fontId="4" fillId="5" borderId="1" xfId="0" applyNumberFormat="1" applyFont="1" applyFill="1" applyBorder="1" applyAlignment="1" applyProtection="1">
      <alignment horizontal="right" vertical="center"/>
      <protection locked="0"/>
    </xf>
    <xf numFmtId="8" fontId="3" fillId="0" borderId="3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 wrapText="1"/>
    </xf>
    <xf numFmtId="10" fontId="3" fillId="5" borderId="3" xfId="2" applyNumberFormat="1" applyFont="1" applyFill="1" applyBorder="1" applyAlignment="1" applyProtection="1">
      <alignment vertical="center"/>
      <protection locked="0"/>
    </xf>
    <xf numFmtId="8" fontId="3" fillId="0" borderId="1" xfId="0" applyNumberFormat="1" applyFont="1" applyFill="1" applyBorder="1" applyAlignment="1">
      <alignment vertical="center"/>
    </xf>
    <xf numFmtId="8" fontId="4" fillId="0" borderId="2" xfId="0" applyNumberFormat="1" applyFont="1" applyFill="1" applyBorder="1" applyAlignment="1">
      <alignment horizontal="center" vertical="center"/>
    </xf>
    <xf numFmtId="10" fontId="4" fillId="5" borderId="3" xfId="2" applyNumberFormat="1" applyFont="1" applyFill="1" applyBorder="1" applyAlignment="1" applyProtection="1">
      <alignment vertical="center"/>
      <protection locked="0"/>
    </xf>
    <xf numFmtId="8" fontId="3" fillId="0" borderId="2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0" fontId="4" fillId="4" borderId="3" xfId="2" applyNumberFormat="1" applyFont="1" applyFill="1" applyBorder="1" applyAlignment="1" applyProtection="1">
      <alignment vertical="center"/>
    </xf>
    <xf numFmtId="10" fontId="4" fillId="0" borderId="1" xfId="2" applyNumberFormat="1" applyFont="1" applyFill="1" applyBorder="1" applyAlignment="1">
      <alignment vertical="center"/>
    </xf>
    <xf numFmtId="10" fontId="3" fillId="3" borderId="1" xfId="2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 applyProtection="1">
      <alignment vertical="center" wrapText="1"/>
      <protection locked="0"/>
    </xf>
    <xf numFmtId="168" fontId="3" fillId="8" borderId="1" xfId="0" applyNumberFormat="1" applyFont="1" applyFill="1" applyBorder="1" applyAlignment="1">
      <alignment horizontal="right" vertical="center"/>
    </xf>
    <xf numFmtId="10" fontId="2" fillId="2" borderId="0" xfId="0" applyNumberFormat="1" applyFont="1" applyFill="1"/>
    <xf numFmtId="43" fontId="4" fillId="0" borderId="1" xfId="1" applyFont="1" applyFill="1" applyBorder="1" applyAlignment="1">
      <alignment horizontal="center" vertical="center"/>
    </xf>
    <xf numFmtId="169" fontId="4" fillId="5" borderId="3" xfId="2" applyNumberFormat="1" applyFont="1" applyFill="1" applyBorder="1" applyAlignment="1" applyProtection="1">
      <alignment vertical="center"/>
      <protection locked="0"/>
    </xf>
    <xf numFmtId="0" fontId="13" fillId="9" borderId="17" xfId="0" applyFont="1" applyFill="1" applyBorder="1" applyAlignment="1">
      <alignment horizontal="center" vertical="center" wrapText="1"/>
    </xf>
    <xf numFmtId="0" fontId="13" fillId="9" borderId="14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167" fontId="11" fillId="4" borderId="17" xfId="0" applyNumberFormat="1" applyFont="1" applyFill="1" applyBorder="1" applyAlignment="1">
      <alignment horizontal="center" vertical="center" wrapText="1"/>
    </xf>
    <xf numFmtId="44" fontId="1" fillId="0" borderId="0" xfId="5" applyFont="1"/>
    <xf numFmtId="170" fontId="0" fillId="0" borderId="0" xfId="0" applyNumberFormat="1"/>
    <xf numFmtId="1" fontId="13" fillId="9" borderId="14" xfId="0" applyNumberFormat="1" applyFont="1" applyFill="1" applyBorder="1" applyAlignment="1">
      <alignment horizontal="center" vertical="center" wrapText="1"/>
    </xf>
    <xf numFmtId="167" fontId="13" fillId="9" borderId="17" xfId="0" applyNumberFormat="1" applyFont="1" applyFill="1" applyBorder="1" applyAlignment="1">
      <alignment horizontal="center" vertical="center" wrapText="1"/>
    </xf>
    <xf numFmtId="0" fontId="0" fillId="10" borderId="0" xfId="0" applyFill="1"/>
    <xf numFmtId="0" fontId="18" fillId="10" borderId="0" xfId="0" applyFont="1" applyFill="1" applyAlignment="1">
      <alignment vertical="center"/>
    </xf>
    <xf numFmtId="0" fontId="0" fillId="11" borderId="0" xfId="0" applyFill="1"/>
    <xf numFmtId="167" fontId="11" fillId="4" borderId="21" xfId="0" applyNumberFormat="1" applyFont="1" applyFill="1" applyBorder="1" applyAlignment="1">
      <alignment vertical="center" wrapText="1"/>
    </xf>
    <xf numFmtId="44" fontId="4" fillId="4" borderId="1" xfId="5" applyFont="1" applyFill="1" applyBorder="1" applyAlignment="1" applyProtection="1">
      <alignment horizontal="right" vertical="center"/>
    </xf>
    <xf numFmtId="43" fontId="4" fillId="5" borderId="1" xfId="1" applyFont="1" applyFill="1" applyBorder="1" applyAlignment="1" applyProtection="1">
      <alignment horizontal="center" vertical="center"/>
      <protection locked="0"/>
    </xf>
    <xf numFmtId="43" fontId="4" fillId="4" borderId="1" xfId="1" applyFont="1" applyFill="1" applyBorder="1" applyAlignment="1" applyProtection="1">
      <alignment vertical="center"/>
    </xf>
    <xf numFmtId="0" fontId="0" fillId="0" borderId="0" xfId="0" applyProtection="1"/>
    <xf numFmtId="0" fontId="0" fillId="2" borderId="0" xfId="0" applyFill="1" applyProtection="1"/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3" fillId="3" borderId="1" xfId="0" applyFont="1" applyFill="1" applyBorder="1" applyAlignment="1" applyProtection="1">
      <alignment horizontal="center" vertical="center"/>
    </xf>
    <xf numFmtId="9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 wrapText="1"/>
    </xf>
    <xf numFmtId="43" fontId="9" fillId="3" borderId="1" xfId="1" applyFont="1" applyFill="1" applyBorder="1" applyAlignment="1" applyProtection="1">
      <alignment vertical="center"/>
    </xf>
    <xf numFmtId="8" fontId="3" fillId="7" borderId="1" xfId="0" applyNumberFormat="1" applyFont="1" applyFill="1" applyBorder="1" applyAlignment="1" applyProtection="1">
      <alignment horizontal="center" vertical="center"/>
    </xf>
    <xf numFmtId="8" fontId="3" fillId="7" borderId="1" xfId="0" applyNumberFormat="1" applyFont="1" applyFill="1" applyBorder="1" applyAlignment="1" applyProtection="1">
      <alignment horizontal="left" vertical="center"/>
    </xf>
    <xf numFmtId="8" fontId="4" fillId="0" borderId="1" xfId="0" applyNumberFormat="1" applyFont="1" applyBorder="1" applyAlignment="1" applyProtection="1">
      <alignment horizontal="center" vertical="center"/>
    </xf>
    <xf numFmtId="8" fontId="4" fillId="0" borderId="1" xfId="0" applyNumberFormat="1" applyFont="1" applyBorder="1" applyAlignment="1" applyProtection="1">
      <alignment horizontal="left" vertical="center"/>
    </xf>
    <xf numFmtId="8" fontId="4" fillId="0" borderId="1" xfId="0" applyNumberFormat="1" applyFont="1" applyBorder="1" applyAlignment="1" applyProtection="1">
      <alignment horizontal="right" vertical="center"/>
    </xf>
    <xf numFmtId="10" fontId="3" fillId="3" borderId="1" xfId="2" applyNumberFormat="1" applyFont="1" applyFill="1" applyBorder="1" applyAlignment="1" applyProtection="1">
      <alignment horizontal="center" vertical="center"/>
    </xf>
    <xf numFmtId="8" fontId="3" fillId="3" borderId="1" xfId="0" applyNumberFormat="1" applyFont="1" applyFill="1" applyBorder="1" applyAlignment="1" applyProtection="1">
      <alignment horizontal="right" vertical="center"/>
    </xf>
    <xf numFmtId="8" fontId="3" fillId="3" borderId="1" xfId="0" applyNumberFormat="1" applyFont="1" applyFill="1" applyBorder="1" applyAlignment="1" applyProtection="1">
      <alignment horizontal="center" vertical="center"/>
    </xf>
    <xf numFmtId="8" fontId="3" fillId="3" borderId="4" xfId="0" applyNumberFormat="1" applyFont="1" applyFill="1" applyBorder="1" applyAlignment="1" applyProtection="1">
      <alignment horizontal="left" vertical="center"/>
    </xf>
    <xf numFmtId="8" fontId="4" fillId="0" borderId="2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10" fontId="3" fillId="3" borderId="3" xfId="2" applyNumberFormat="1" applyFont="1" applyFill="1" applyBorder="1" applyAlignment="1" applyProtection="1">
      <alignment horizontal="center" vertical="center"/>
    </xf>
    <xf numFmtId="8" fontId="4" fillId="0" borderId="2" xfId="0" applyNumberFormat="1" applyFont="1" applyFill="1" applyBorder="1" applyAlignment="1" applyProtection="1">
      <alignment horizontal="center" vertical="center"/>
    </xf>
    <xf numFmtId="8" fontId="6" fillId="0" borderId="1" xfId="0" applyNumberFormat="1" applyFont="1" applyFill="1" applyBorder="1" applyAlignment="1" applyProtection="1">
      <alignment horizontal="right" vertical="center"/>
    </xf>
    <xf numFmtId="8" fontId="15" fillId="0" borderId="1" xfId="0" applyNumberFormat="1" applyFont="1" applyFill="1" applyBorder="1" applyAlignment="1" applyProtection="1">
      <alignment horizontal="right" vertical="center"/>
    </xf>
    <xf numFmtId="0" fontId="2" fillId="2" borderId="0" xfId="0" applyFont="1" applyFill="1" applyProtection="1"/>
    <xf numFmtId="8" fontId="3" fillId="0" borderId="1" xfId="0" applyNumberFormat="1" applyFont="1" applyFill="1" applyBorder="1" applyAlignment="1" applyProtection="1">
      <alignment horizontal="right" vertical="center"/>
    </xf>
    <xf numFmtId="8" fontId="0" fillId="2" borderId="0" xfId="0" applyNumberFormat="1" applyFill="1" applyProtection="1"/>
    <xf numFmtId="0" fontId="5" fillId="4" borderId="1" xfId="0" applyFont="1" applyFill="1" applyBorder="1" applyAlignment="1" applyProtection="1">
      <alignment vertical="center" wrapText="1"/>
    </xf>
    <xf numFmtId="10" fontId="4" fillId="0" borderId="3" xfId="2" applyNumberFormat="1" applyFont="1" applyBorder="1" applyAlignment="1" applyProtection="1">
      <alignment horizontal="center" vertical="center"/>
    </xf>
    <xf numFmtId="8" fontId="4" fillId="0" borderId="3" xfId="0" applyNumberFormat="1" applyFont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166" fontId="4" fillId="0" borderId="3" xfId="2" applyNumberFormat="1" applyFont="1" applyFill="1" applyBorder="1" applyAlignment="1" applyProtection="1">
      <alignment horizontal="center" vertical="center"/>
    </xf>
    <xf numFmtId="10" fontId="4" fillId="0" borderId="3" xfId="2" applyNumberFormat="1" applyFont="1" applyFill="1" applyBorder="1" applyAlignment="1" applyProtection="1">
      <alignment horizontal="center" vertical="center"/>
    </xf>
    <xf numFmtId="8" fontId="4" fillId="0" borderId="1" xfId="0" applyNumberFormat="1" applyFont="1" applyFill="1" applyBorder="1" applyAlignment="1" applyProtection="1">
      <alignment horizontal="right" vertical="center"/>
    </xf>
    <xf numFmtId="8" fontId="3" fillId="3" borderId="1" xfId="0" applyNumberFormat="1" applyFont="1" applyFill="1" applyBorder="1" applyAlignment="1" applyProtection="1">
      <alignment horizontal="left" vertical="center"/>
    </xf>
    <xf numFmtId="8" fontId="4" fillId="0" borderId="1" xfId="0" applyNumberFormat="1" applyFont="1" applyFill="1" applyBorder="1" applyAlignment="1" applyProtection="1">
      <alignment horizontal="center" vertical="center"/>
    </xf>
    <xf numFmtId="8" fontId="4" fillId="0" borderId="1" xfId="0" applyNumberFormat="1" applyFont="1" applyFill="1" applyBorder="1" applyAlignment="1" applyProtection="1">
      <alignment horizontal="left" vertical="center"/>
    </xf>
    <xf numFmtId="43" fontId="4" fillId="0" borderId="1" xfId="1" applyFont="1" applyFill="1" applyBorder="1" applyAlignment="1" applyProtection="1">
      <alignment horizontal="center" vertical="center"/>
    </xf>
    <xf numFmtId="10" fontId="3" fillId="3" borderId="1" xfId="2" applyNumberFormat="1" applyFont="1" applyFill="1" applyBorder="1" applyAlignment="1" applyProtection="1">
      <alignment vertical="center"/>
    </xf>
    <xf numFmtId="8" fontId="3" fillId="3" borderId="1" xfId="0" applyNumberFormat="1" applyFont="1" applyFill="1" applyBorder="1" applyAlignment="1" applyProtection="1">
      <alignment vertical="center"/>
    </xf>
    <xf numFmtId="10" fontId="4" fillId="0" borderId="1" xfId="2" applyNumberFormat="1" applyFont="1" applyFill="1" applyBorder="1" applyAlignment="1" applyProtection="1">
      <alignment horizontal="center" vertical="center"/>
    </xf>
    <xf numFmtId="9" fontId="3" fillId="3" borderId="1" xfId="2" applyFont="1" applyFill="1" applyBorder="1" applyAlignment="1" applyProtection="1">
      <alignment horizontal="center" vertical="center"/>
    </xf>
    <xf numFmtId="10" fontId="2" fillId="2" borderId="0" xfId="0" applyNumberFormat="1" applyFont="1" applyFill="1" applyProtection="1"/>
    <xf numFmtId="8" fontId="3" fillId="0" borderId="3" xfId="0" applyNumberFormat="1" applyFont="1" applyFill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vertical="center" wrapText="1"/>
    </xf>
    <xf numFmtId="8" fontId="3" fillId="0" borderId="1" xfId="0" applyNumberFormat="1" applyFont="1" applyFill="1" applyBorder="1" applyAlignment="1" applyProtection="1">
      <alignment vertical="center"/>
    </xf>
    <xf numFmtId="8" fontId="3" fillId="0" borderId="2" xfId="0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vertical="center"/>
    </xf>
    <xf numFmtId="10" fontId="4" fillId="0" borderId="1" xfId="2" applyNumberFormat="1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horizontal="center" vertical="center"/>
    </xf>
    <xf numFmtId="168" fontId="3" fillId="3" borderId="1" xfId="0" applyNumberFormat="1" applyFont="1" applyFill="1" applyBorder="1" applyAlignment="1" applyProtection="1">
      <alignment horizontal="right" vertical="center"/>
    </xf>
    <xf numFmtId="168" fontId="3" fillId="8" borderId="1" xfId="0" applyNumberFormat="1" applyFont="1" applyFill="1" applyBorder="1" applyAlignment="1" applyProtection="1">
      <alignment horizontal="right" vertical="center"/>
    </xf>
    <xf numFmtId="167" fontId="8" fillId="0" borderId="1" xfId="1" applyNumberFormat="1" applyFont="1" applyBorder="1" applyAlignment="1" applyProtection="1">
      <alignment horizontal="right" vertical="center"/>
    </xf>
    <xf numFmtId="167" fontId="4" fillId="0" borderId="1" xfId="1" applyNumberFormat="1" applyFont="1" applyBorder="1" applyAlignment="1" applyProtection="1">
      <alignment horizontal="right" vertical="center"/>
    </xf>
    <xf numFmtId="167" fontId="7" fillId="0" borderId="1" xfId="1" applyNumberFormat="1" applyFont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9" fillId="3" borderId="1" xfId="1" applyNumberFormat="1" applyFont="1" applyFill="1" applyBorder="1" applyAlignment="1" applyProtection="1">
      <alignment vertical="center"/>
    </xf>
    <xf numFmtId="164" fontId="5" fillId="5" borderId="1" xfId="0" applyNumberFormat="1" applyFont="1" applyFill="1" applyBorder="1" applyAlignment="1" applyProtection="1">
      <alignment horizontal="center" vertical="center"/>
      <protection locked="0"/>
    </xf>
    <xf numFmtId="10" fontId="4" fillId="5" borderId="1" xfId="0" applyNumberFormat="1" applyFont="1" applyFill="1" applyBorder="1" applyAlignment="1" applyProtection="1">
      <alignment horizontal="center" vertical="center"/>
      <protection locked="0"/>
    </xf>
    <xf numFmtId="10" fontId="7" fillId="5" borderId="1" xfId="2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vertical="center" wrapText="1"/>
      <protection locked="0"/>
    </xf>
    <xf numFmtId="169" fontId="4" fillId="5" borderId="3" xfId="2" applyNumberFormat="1" applyFont="1" applyFill="1" applyBorder="1" applyAlignment="1" applyProtection="1">
      <alignment horizontal="center" vertical="center"/>
      <protection locked="0"/>
    </xf>
    <xf numFmtId="10" fontId="4" fillId="4" borderId="1" xfId="0" applyNumberFormat="1" applyFont="1" applyFill="1" applyBorder="1" applyAlignment="1" applyProtection="1">
      <alignment horizontal="center" vertical="center"/>
      <protection locked="0"/>
    </xf>
    <xf numFmtId="9" fontId="4" fillId="4" borderId="1" xfId="0" applyNumberFormat="1" applyFont="1" applyFill="1" applyBorder="1" applyAlignment="1" applyProtection="1">
      <alignment horizontal="center" vertical="center"/>
      <protection locked="0"/>
    </xf>
    <xf numFmtId="43" fontId="4" fillId="5" borderId="1" xfId="1" applyFont="1" applyFill="1" applyBorder="1" applyAlignment="1" applyProtection="1">
      <alignment vertical="center"/>
      <protection locked="0"/>
    </xf>
    <xf numFmtId="8" fontId="6" fillId="5" borderId="1" xfId="0" applyNumberFormat="1" applyFont="1" applyFill="1" applyBorder="1" applyAlignment="1" applyProtection="1">
      <alignment horizontal="right" vertical="center"/>
      <protection locked="0"/>
    </xf>
    <xf numFmtId="0" fontId="0" fillId="4" borderId="0" xfId="0" applyFill="1" applyProtection="1"/>
    <xf numFmtId="10" fontId="4" fillId="4" borderId="1" xfId="0" applyNumberFormat="1" applyFont="1" applyFill="1" applyBorder="1" applyAlignment="1" applyProtection="1">
      <alignment horizontal="center" vertical="center"/>
    </xf>
    <xf numFmtId="9" fontId="4" fillId="4" borderId="1" xfId="0" applyNumberFormat="1" applyFont="1" applyFill="1" applyBorder="1" applyAlignment="1" applyProtection="1">
      <alignment horizontal="center" vertical="center"/>
    </xf>
    <xf numFmtId="0" fontId="0" fillId="10" borderId="0" xfId="0" applyFill="1" applyProtection="1"/>
    <xf numFmtId="0" fontId="13" fillId="9" borderId="17" xfId="0" applyFont="1" applyFill="1" applyBorder="1" applyAlignment="1" applyProtection="1">
      <alignment horizontal="center" vertical="center" wrapText="1"/>
    </xf>
    <xf numFmtId="0" fontId="13" fillId="9" borderId="14" xfId="0" applyFont="1" applyFill="1" applyBorder="1" applyAlignment="1" applyProtection="1">
      <alignment horizontal="center" vertical="center" wrapText="1"/>
    </xf>
    <xf numFmtId="0" fontId="11" fillId="4" borderId="17" xfId="0" applyFont="1" applyFill="1" applyBorder="1" applyAlignment="1" applyProtection="1">
      <alignment horizontal="center" vertical="center" wrapText="1"/>
    </xf>
    <xf numFmtId="167" fontId="11" fillId="4" borderId="17" xfId="0" applyNumberFormat="1" applyFont="1" applyFill="1" applyBorder="1" applyAlignment="1" applyProtection="1">
      <alignment horizontal="center" vertical="center" wrapText="1"/>
    </xf>
    <xf numFmtId="171" fontId="11" fillId="4" borderId="17" xfId="1" applyNumberFormat="1" applyFont="1" applyFill="1" applyBorder="1" applyAlignment="1" applyProtection="1">
      <alignment horizontal="center" vertical="center" wrapText="1"/>
    </xf>
    <xf numFmtId="9" fontId="11" fillId="4" borderId="17" xfId="2" applyFont="1" applyFill="1" applyBorder="1" applyAlignment="1" applyProtection="1">
      <alignment horizontal="center" vertical="center" wrapText="1"/>
    </xf>
    <xf numFmtId="44" fontId="11" fillId="4" borderId="17" xfId="5" applyNumberFormat="1" applyFont="1" applyFill="1" applyBorder="1" applyAlignment="1" applyProtection="1">
      <alignment horizontal="center" vertical="center" wrapText="1"/>
    </xf>
    <xf numFmtId="171" fontId="19" fillId="4" borderId="17" xfId="1" applyNumberFormat="1" applyFont="1" applyFill="1" applyBorder="1" applyAlignment="1" applyProtection="1">
      <alignment horizontal="center" vertical="center" wrapText="1"/>
    </xf>
    <xf numFmtId="167" fontId="13" fillId="9" borderId="17" xfId="0" applyNumberFormat="1" applyFont="1" applyFill="1" applyBorder="1" applyAlignment="1" applyProtection="1">
      <alignment horizontal="center" vertical="center" wrapText="1"/>
    </xf>
    <xf numFmtId="167" fontId="13" fillId="12" borderId="17" xfId="0" applyNumberFormat="1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167" fontId="19" fillId="4" borderId="17" xfId="0" applyNumberFormat="1" applyFont="1" applyFill="1" applyBorder="1" applyAlignment="1" applyProtection="1">
      <alignment horizontal="center" vertical="center" wrapText="1"/>
    </xf>
    <xf numFmtId="44" fontId="13" fillId="12" borderId="17" xfId="5" applyFont="1" applyFill="1" applyBorder="1" applyAlignment="1" applyProtection="1">
      <alignment horizontal="center" vertical="center" wrapText="1"/>
    </xf>
    <xf numFmtId="0" fontId="0" fillId="11" borderId="0" xfId="0" applyFill="1" applyProtection="1"/>
    <xf numFmtId="0" fontId="11" fillId="5" borderId="14" xfId="0" applyFont="1" applyFill="1" applyBorder="1" applyAlignment="1" applyProtection="1">
      <alignment vertical="center" wrapText="1"/>
      <protection locked="0"/>
    </xf>
    <xf numFmtId="167" fontId="11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19" fillId="5" borderId="14" xfId="0" applyFont="1" applyFill="1" applyBorder="1" applyAlignment="1" applyProtection="1">
      <alignment horizontal="center" vertical="center" wrapText="1"/>
      <protection locked="0"/>
    </xf>
    <xf numFmtId="167" fontId="19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11" fillId="4" borderId="17" xfId="0" applyNumberFormat="1" applyFont="1" applyFill="1" applyBorder="1" applyAlignment="1">
      <alignment horizontal="center" vertical="center" wrapText="1"/>
    </xf>
    <xf numFmtId="0" fontId="20" fillId="0" borderId="17" xfId="0" applyFont="1" applyBorder="1"/>
    <xf numFmtId="0" fontId="20" fillId="0" borderId="0" xfId="0" applyFont="1"/>
    <xf numFmtId="167" fontId="11" fillId="4" borderId="17" xfId="5" applyNumberFormat="1" applyFont="1" applyFill="1" applyBorder="1" applyAlignment="1">
      <alignment horizontal="center" vertical="center" wrapText="1"/>
    </xf>
    <xf numFmtId="167" fontId="11" fillId="4" borderId="2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3" fillId="3" borderId="1" xfId="0" applyFont="1" applyFill="1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3" fillId="9" borderId="14" xfId="0" applyFont="1" applyFill="1" applyBorder="1" applyAlignment="1">
      <alignment horizontal="center"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6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3" fillId="9" borderId="11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6" fillId="13" borderId="14" xfId="0" applyFont="1" applyFill="1" applyBorder="1" applyAlignment="1" applyProtection="1">
      <alignment horizontal="center" vertical="center"/>
    </xf>
    <xf numFmtId="0" fontId="16" fillId="13" borderId="15" xfId="0" applyFont="1" applyFill="1" applyBorder="1" applyAlignment="1" applyProtection="1">
      <alignment horizontal="center" vertical="center"/>
    </xf>
    <xf numFmtId="0" fontId="16" fillId="13" borderId="16" xfId="0" applyFont="1" applyFill="1" applyBorder="1" applyAlignment="1" applyProtection="1">
      <alignment horizontal="center" vertical="center"/>
    </xf>
    <xf numFmtId="0" fontId="13" fillId="9" borderId="18" xfId="0" applyFont="1" applyFill="1" applyBorder="1" applyAlignment="1" applyProtection="1">
      <alignment horizontal="center" vertical="center" wrapText="1"/>
    </xf>
    <xf numFmtId="0" fontId="13" fillId="9" borderId="19" xfId="0" applyFont="1" applyFill="1" applyBorder="1" applyAlignment="1" applyProtection="1">
      <alignment horizontal="center" vertical="center" wrapText="1"/>
    </xf>
    <xf numFmtId="0" fontId="13" fillId="9" borderId="22" xfId="0" applyFont="1" applyFill="1" applyBorder="1" applyAlignment="1" applyProtection="1">
      <alignment horizontal="center" vertical="center" wrapText="1"/>
    </xf>
    <xf numFmtId="0" fontId="13" fillId="9" borderId="14" xfId="0" applyFont="1" applyFill="1" applyBorder="1" applyAlignment="1" applyProtection="1">
      <alignment horizontal="center" vertical="center" wrapText="1"/>
    </xf>
    <xf numFmtId="0" fontId="13" fillId="9" borderId="15" xfId="0" applyFont="1" applyFill="1" applyBorder="1" applyAlignment="1" applyProtection="1">
      <alignment horizontal="center" vertical="center" wrapText="1"/>
    </xf>
    <xf numFmtId="0" fontId="13" fillId="9" borderId="16" xfId="0" applyFont="1" applyFill="1" applyBorder="1" applyAlignment="1" applyProtection="1">
      <alignment horizontal="center" vertical="center" wrapText="1"/>
    </xf>
    <xf numFmtId="0" fontId="17" fillId="6" borderId="14" xfId="0" applyFont="1" applyFill="1" applyBorder="1" applyAlignment="1" applyProtection="1">
      <alignment horizontal="center" vertical="center" wrapText="1"/>
    </xf>
    <xf numFmtId="0" fontId="17" fillId="6" borderId="15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7" fillId="6" borderId="23" xfId="0" applyFont="1" applyFill="1" applyBorder="1" applyAlignment="1" applyProtection="1">
      <alignment horizontal="center" vertical="center"/>
    </xf>
    <xf numFmtId="0" fontId="17" fillId="6" borderId="24" xfId="0" applyFont="1" applyFill="1" applyBorder="1" applyAlignment="1" applyProtection="1">
      <alignment horizontal="center" vertical="center"/>
    </xf>
    <xf numFmtId="0" fontId="17" fillId="6" borderId="25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6" fillId="0" borderId="2" xfId="0" applyFont="1" applyBorder="1" applyProtection="1"/>
    <xf numFmtId="0" fontId="6" fillId="0" borderId="7" xfId="0" applyFont="1" applyBorder="1" applyProtection="1"/>
    <xf numFmtId="0" fontId="6" fillId="0" borderId="3" xfId="0" applyFont="1" applyBorder="1" applyProtection="1"/>
    <xf numFmtId="0" fontId="3" fillId="3" borderId="2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8" fontId="4" fillId="0" borderId="2" xfId="0" applyNumberFormat="1" applyFont="1" applyFill="1" applyBorder="1" applyAlignment="1" applyProtection="1">
      <alignment horizontal="center" vertical="center"/>
    </xf>
    <xf numFmtId="8" fontId="4" fillId="0" borderId="7" xfId="0" applyNumberFormat="1" applyFont="1" applyFill="1" applyBorder="1" applyAlignment="1" applyProtection="1">
      <alignment horizontal="center" vertical="center"/>
    </xf>
    <xf numFmtId="8" fontId="4" fillId="0" borderId="3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8" fontId="3" fillId="0" borderId="2" xfId="0" applyNumberFormat="1" applyFont="1" applyFill="1" applyBorder="1" applyAlignment="1" applyProtection="1">
      <alignment horizontal="center" vertical="center"/>
    </xf>
    <xf numFmtId="8" fontId="3" fillId="0" borderId="3" xfId="0" applyNumberFormat="1" applyFont="1" applyFill="1" applyBorder="1" applyAlignment="1" applyProtection="1">
      <alignment horizontal="center" vertical="center"/>
    </xf>
    <xf numFmtId="8" fontId="3" fillId="3" borderId="2" xfId="0" applyNumberFormat="1" applyFont="1" applyFill="1" applyBorder="1" applyAlignment="1" applyProtection="1">
      <alignment horizontal="left" vertical="center"/>
    </xf>
    <xf numFmtId="8" fontId="3" fillId="3" borderId="3" xfId="0" applyNumberFormat="1" applyFont="1" applyFill="1" applyBorder="1" applyAlignment="1" applyProtection="1">
      <alignment horizontal="left" vertical="center"/>
    </xf>
    <xf numFmtId="8" fontId="3" fillId="0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8" fontId="3" fillId="0" borderId="9" xfId="0" applyNumberFormat="1" applyFont="1" applyFill="1" applyBorder="1" applyAlignment="1" applyProtection="1">
      <alignment horizontal="left" vertical="center"/>
    </xf>
    <xf numFmtId="8" fontId="3" fillId="0" borderId="10" xfId="0" applyNumberFormat="1" applyFont="1" applyFill="1" applyBorder="1" applyAlignment="1" applyProtection="1">
      <alignment horizontal="left" vertical="center"/>
    </xf>
    <xf numFmtId="8" fontId="3" fillId="0" borderId="8" xfId="0" applyNumberFormat="1" applyFont="1" applyFill="1" applyBorder="1" applyAlignment="1" applyProtection="1">
      <alignment horizontal="left" vertical="center"/>
    </xf>
    <xf numFmtId="8" fontId="3" fillId="6" borderId="2" xfId="0" applyNumberFormat="1" applyFont="1" applyFill="1" applyBorder="1" applyAlignment="1" applyProtection="1">
      <alignment horizontal="left" vertical="center"/>
    </xf>
    <xf numFmtId="8" fontId="3" fillId="6" borderId="7" xfId="0" applyNumberFormat="1" applyFont="1" applyFill="1" applyBorder="1" applyAlignment="1" applyProtection="1">
      <alignment horizontal="left" vertical="center"/>
    </xf>
    <xf numFmtId="8" fontId="3" fillId="6" borderId="3" xfId="0" applyNumberFormat="1" applyFont="1" applyFill="1" applyBorder="1" applyAlignment="1" applyProtection="1">
      <alignment horizontal="left" vertical="center"/>
    </xf>
    <xf numFmtId="8" fontId="3" fillId="0" borderId="2" xfId="0" applyNumberFormat="1" applyFont="1" applyFill="1" applyBorder="1" applyAlignment="1" applyProtection="1">
      <alignment horizontal="left" vertical="center"/>
    </xf>
    <xf numFmtId="8" fontId="3" fillId="0" borderId="7" xfId="0" applyNumberFormat="1" applyFont="1" applyFill="1" applyBorder="1" applyAlignment="1" applyProtection="1">
      <alignment horizontal="left" vertical="center"/>
    </xf>
    <xf numFmtId="8" fontId="3" fillId="0" borderId="3" xfId="0" applyNumberFormat="1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5" fillId="5" borderId="2" xfId="0" applyFont="1" applyFill="1" applyBorder="1" applyAlignment="1" applyProtection="1">
      <alignment vertical="center" wrapText="1"/>
      <protection locked="0"/>
    </xf>
    <xf numFmtId="0" fontId="5" fillId="5" borderId="3" xfId="0" applyFont="1" applyFill="1" applyBorder="1" applyAlignment="1" applyProtection="1">
      <alignment vertical="center" wrapText="1"/>
      <protection locked="0"/>
    </xf>
    <xf numFmtId="8" fontId="3" fillId="3" borderId="7" xfId="0" applyNumberFormat="1" applyFont="1" applyFill="1" applyBorder="1" applyAlignment="1" applyProtection="1">
      <alignment horizontal="left" vertical="center"/>
    </xf>
    <xf numFmtId="8" fontId="3" fillId="0" borderId="1" xfId="0" applyNumberFormat="1" applyFont="1" applyFill="1" applyBorder="1" applyAlignment="1" applyProtection="1">
      <alignment horizontal="left" vertical="center"/>
    </xf>
    <xf numFmtId="8" fontId="3" fillId="0" borderId="1" xfId="0" applyNumberFormat="1" applyFont="1" applyFill="1" applyBorder="1" applyAlignment="1" applyProtection="1">
      <alignment horizontal="center" vertical="center"/>
    </xf>
    <xf numFmtId="8" fontId="3" fillId="6" borderId="1" xfId="0" applyNumberFormat="1" applyFont="1" applyFill="1" applyBorder="1" applyAlignment="1" applyProtection="1">
      <alignment horizontal="left" vertical="center"/>
    </xf>
    <xf numFmtId="8" fontId="3" fillId="0" borderId="2" xfId="0" applyNumberFormat="1" applyFont="1" applyBorder="1" applyAlignment="1" applyProtection="1">
      <alignment horizontal="center" vertical="center"/>
    </xf>
    <xf numFmtId="8" fontId="3" fillId="0" borderId="7" xfId="0" applyNumberFormat="1" applyFont="1" applyBorder="1" applyAlignment="1" applyProtection="1">
      <alignment horizontal="center" vertical="center"/>
    </xf>
    <xf numFmtId="8" fontId="3" fillId="0" borderId="3" xfId="0" applyNumberFormat="1" applyFont="1" applyBorder="1" applyAlignment="1" applyProtection="1">
      <alignment horizontal="center" vertical="center"/>
    </xf>
    <xf numFmtId="8" fontId="3" fillId="3" borderId="8" xfId="0" applyNumberFormat="1" applyFont="1" applyFill="1" applyBorder="1" applyAlignment="1" applyProtection="1">
      <alignment horizontal="left" vertical="center"/>
    </xf>
    <xf numFmtId="8" fontId="3" fillId="3" borderId="2" xfId="0" applyNumberFormat="1" applyFont="1" applyFill="1" applyBorder="1" applyAlignment="1" applyProtection="1">
      <alignment horizontal="center" vertical="center"/>
    </xf>
    <xf numFmtId="8" fontId="3" fillId="3" borderId="6" xfId="0" applyNumberFormat="1" applyFont="1" applyFill="1" applyBorder="1" applyAlignment="1" applyProtection="1">
      <alignment horizontal="center" vertical="center"/>
    </xf>
    <xf numFmtId="8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5" fillId="5" borderId="2" xfId="1" applyNumberFormat="1" applyFont="1" applyFill="1" applyBorder="1" applyAlignment="1" applyProtection="1">
      <alignment horizontal="center" vertical="center"/>
    </xf>
    <xf numFmtId="0" fontId="5" fillId="5" borderId="3" xfId="1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0" borderId="2" xfId="0" applyFont="1" applyBorder="1"/>
    <xf numFmtId="0" fontId="6" fillId="0" borderId="7" xfId="0" applyFont="1" applyBorder="1"/>
    <xf numFmtId="0" fontId="6" fillId="0" borderId="3" xfId="0" applyFont="1" applyBorder="1"/>
    <xf numFmtId="0" fontId="3" fillId="3" borderId="2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8" fontId="4" fillId="0" borderId="2" xfId="0" applyNumberFormat="1" applyFont="1" applyFill="1" applyBorder="1" applyAlignment="1">
      <alignment horizontal="center" vertical="center"/>
    </xf>
    <xf numFmtId="8" fontId="4" fillId="0" borderId="7" xfId="0" applyNumberFormat="1" applyFont="1" applyFill="1" applyBorder="1" applyAlignment="1">
      <alignment horizontal="center" vertical="center"/>
    </xf>
    <xf numFmtId="8" fontId="4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8" fontId="3" fillId="0" borderId="2" xfId="0" applyNumberFormat="1" applyFont="1" applyFill="1" applyBorder="1" applyAlignment="1">
      <alignment horizontal="center" vertical="center"/>
    </xf>
    <xf numFmtId="8" fontId="3" fillId="0" borderId="3" xfId="0" applyNumberFormat="1" applyFont="1" applyFill="1" applyBorder="1" applyAlignment="1">
      <alignment horizontal="center" vertical="center"/>
    </xf>
    <xf numFmtId="8" fontId="3" fillId="3" borderId="2" xfId="0" applyNumberFormat="1" applyFont="1" applyFill="1" applyBorder="1" applyAlignment="1">
      <alignment horizontal="left" vertical="center"/>
    </xf>
    <xf numFmtId="8" fontId="3" fillId="3" borderId="3" xfId="0" applyNumberFormat="1" applyFont="1" applyFill="1" applyBorder="1" applyAlignment="1">
      <alignment horizontal="left" vertical="center"/>
    </xf>
    <xf numFmtId="8" fontId="3" fillId="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8" fontId="3" fillId="0" borderId="9" xfId="0" applyNumberFormat="1" applyFont="1" applyFill="1" applyBorder="1" applyAlignment="1">
      <alignment horizontal="left" vertical="center"/>
    </xf>
    <xf numFmtId="8" fontId="3" fillId="0" borderId="10" xfId="0" applyNumberFormat="1" applyFont="1" applyFill="1" applyBorder="1" applyAlignment="1">
      <alignment horizontal="left" vertical="center"/>
    </xf>
    <xf numFmtId="8" fontId="3" fillId="0" borderId="8" xfId="0" applyNumberFormat="1" applyFont="1" applyFill="1" applyBorder="1" applyAlignment="1">
      <alignment horizontal="left" vertical="center"/>
    </xf>
    <xf numFmtId="8" fontId="3" fillId="6" borderId="2" xfId="0" applyNumberFormat="1" applyFont="1" applyFill="1" applyBorder="1" applyAlignment="1">
      <alignment horizontal="left" vertical="center"/>
    </xf>
    <xf numFmtId="8" fontId="3" fillId="6" borderId="7" xfId="0" applyNumberFormat="1" applyFont="1" applyFill="1" applyBorder="1" applyAlignment="1">
      <alignment horizontal="left" vertical="center"/>
    </xf>
    <xf numFmtId="8" fontId="3" fillId="6" borderId="3" xfId="0" applyNumberFormat="1" applyFont="1" applyFill="1" applyBorder="1" applyAlignment="1">
      <alignment horizontal="left" vertical="center"/>
    </xf>
    <xf numFmtId="8" fontId="3" fillId="0" borderId="2" xfId="0" applyNumberFormat="1" applyFont="1" applyFill="1" applyBorder="1" applyAlignment="1">
      <alignment horizontal="left" vertical="center"/>
    </xf>
    <xf numFmtId="8" fontId="3" fillId="0" borderId="7" xfId="0" applyNumberFormat="1" applyFont="1" applyFill="1" applyBorder="1" applyAlignment="1">
      <alignment horizontal="left" vertical="center"/>
    </xf>
    <xf numFmtId="8" fontId="3" fillId="0" borderId="3" xfId="0" applyNumberFormat="1" applyFont="1" applyFill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8" fontId="3" fillId="3" borderId="7" xfId="0" applyNumberFormat="1" applyFont="1" applyFill="1" applyBorder="1" applyAlignment="1">
      <alignment horizontal="left" vertical="center"/>
    </xf>
    <xf numFmtId="8" fontId="3" fillId="0" borderId="1" xfId="0" applyNumberFormat="1" applyFont="1" applyFill="1" applyBorder="1" applyAlignment="1">
      <alignment horizontal="left" vertical="center"/>
    </xf>
    <xf numFmtId="8" fontId="3" fillId="0" borderId="1" xfId="0" applyNumberFormat="1" applyFont="1" applyFill="1" applyBorder="1" applyAlignment="1">
      <alignment horizontal="center" vertical="center"/>
    </xf>
    <xf numFmtId="8" fontId="3" fillId="6" borderId="1" xfId="0" applyNumberFormat="1" applyFont="1" applyFill="1" applyBorder="1" applyAlignment="1">
      <alignment horizontal="left" vertical="center"/>
    </xf>
    <xf numFmtId="8" fontId="3" fillId="0" borderId="2" xfId="0" applyNumberFormat="1" applyFont="1" applyBorder="1" applyAlignment="1">
      <alignment horizontal="center" vertical="center"/>
    </xf>
    <xf numFmtId="8" fontId="3" fillId="0" borderId="7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8" fontId="3" fillId="3" borderId="8" xfId="0" applyNumberFormat="1" applyFont="1" applyFill="1" applyBorder="1" applyAlignment="1">
      <alignment horizontal="left" vertical="center"/>
    </xf>
    <xf numFmtId="8" fontId="3" fillId="3" borderId="2" xfId="0" applyNumberFormat="1" applyFont="1" applyFill="1" applyBorder="1" applyAlignment="1">
      <alignment horizontal="center" vertical="center"/>
    </xf>
    <xf numFmtId="8" fontId="3" fillId="3" borderId="6" xfId="0" applyNumberFormat="1" applyFont="1" applyFill="1" applyBorder="1" applyAlignment="1">
      <alignment horizontal="center" vertical="center"/>
    </xf>
    <xf numFmtId="8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6">
    <cellStyle name="Moeda" xfId="5" builtinId="4"/>
    <cellStyle name="Moeda 2" xfId="3"/>
    <cellStyle name="Normal" xfId="0" builtinId="0"/>
    <cellStyle name="Normal 2 2" xfId="4"/>
    <cellStyle name="Porcentagem" xfId="2" builtinId="5"/>
    <cellStyle name="Vírgula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VR73"/>
  <sheetViews>
    <sheetView zoomScale="80" zoomScaleNormal="80" workbookViewId="0">
      <selection activeCell="D19" sqref="D19"/>
    </sheetView>
  </sheetViews>
  <sheetFormatPr defaultColWidth="0" defaultRowHeight="0" customHeight="1" zeroHeight="1" x14ac:dyDescent="0.25"/>
  <cols>
    <col min="1" max="1" width="4.140625" style="82" customWidth="1"/>
    <col min="2" max="2" width="4.28515625" customWidth="1"/>
    <col min="3" max="3" width="42.85546875" style="84" customWidth="1"/>
    <col min="4" max="4" width="13.85546875" style="84" customWidth="1"/>
    <col min="5" max="5" width="14.7109375" style="84" bestFit="1" customWidth="1"/>
    <col min="6" max="6" width="17.42578125" style="84" customWidth="1"/>
    <col min="7" max="7" width="18" customWidth="1"/>
    <col min="8" max="8" width="9.140625" style="82" customWidth="1"/>
    <col min="9" max="10" width="14.28515625" hidden="1"/>
    <col min="11" max="256" width="9.140625" hidden="1"/>
    <col min="257" max="257" width="7.42578125" hidden="1"/>
    <col min="258" max="258" width="47.42578125" hidden="1"/>
    <col min="259" max="259" width="19.140625" hidden="1"/>
    <col min="260" max="260" width="14.7109375" hidden="1"/>
    <col min="261" max="261" width="16.85546875" hidden="1"/>
    <col min="262" max="262" width="17.5703125" hidden="1"/>
    <col min="263" max="263" width="22" hidden="1"/>
    <col min="264" max="264" width="9.140625" hidden="1"/>
    <col min="265" max="265" width="14.28515625" hidden="1"/>
    <col min="266" max="512" width="9.140625" hidden="1"/>
    <col min="513" max="513" width="7.42578125" hidden="1"/>
    <col min="514" max="514" width="47.42578125" hidden="1"/>
    <col min="515" max="515" width="19.140625" hidden="1"/>
    <col min="516" max="516" width="14.7109375" hidden="1"/>
    <col min="517" max="517" width="16.85546875" hidden="1"/>
    <col min="518" max="518" width="17.5703125" hidden="1"/>
    <col min="519" max="519" width="22" hidden="1"/>
    <col min="520" max="520" width="9.140625" hidden="1"/>
    <col min="521" max="521" width="14.28515625" hidden="1"/>
    <col min="522" max="768" width="9.140625" hidden="1"/>
    <col min="769" max="769" width="7.42578125" hidden="1"/>
    <col min="770" max="770" width="47.42578125" hidden="1"/>
    <col min="771" max="771" width="19.140625" hidden="1"/>
    <col min="772" max="772" width="14.7109375" hidden="1"/>
    <col min="773" max="773" width="16.85546875" hidden="1"/>
    <col min="774" max="774" width="17.5703125" hidden="1"/>
    <col min="775" max="775" width="22" hidden="1"/>
    <col min="776" max="776" width="9.140625" hidden="1"/>
    <col min="777" max="777" width="14.28515625" hidden="1"/>
    <col min="778" max="1024" width="9.140625" hidden="1"/>
    <col min="1025" max="1025" width="7.42578125" hidden="1"/>
    <col min="1026" max="1026" width="47.42578125" hidden="1"/>
    <col min="1027" max="1027" width="19.140625" hidden="1"/>
    <col min="1028" max="1028" width="14.7109375" hidden="1"/>
    <col min="1029" max="1029" width="16.85546875" hidden="1"/>
    <col min="1030" max="1030" width="17.5703125" hidden="1"/>
    <col min="1031" max="1031" width="22" hidden="1"/>
    <col min="1032" max="1032" width="9.140625" hidden="1"/>
    <col min="1033" max="1033" width="14.28515625" hidden="1"/>
    <col min="1034" max="1280" width="9.140625" hidden="1"/>
    <col min="1281" max="1281" width="7.42578125" hidden="1"/>
    <col min="1282" max="1282" width="47.42578125" hidden="1"/>
    <col min="1283" max="1283" width="19.140625" hidden="1"/>
    <col min="1284" max="1284" width="14.7109375" hidden="1"/>
    <col min="1285" max="1285" width="16.85546875" hidden="1"/>
    <col min="1286" max="1286" width="17.5703125" hidden="1"/>
    <col min="1287" max="1287" width="22" hidden="1"/>
    <col min="1288" max="1288" width="9.140625" hidden="1"/>
    <col min="1289" max="1289" width="14.28515625" hidden="1"/>
    <col min="1290" max="1536" width="9.140625" hidden="1"/>
    <col min="1537" max="1537" width="7.42578125" hidden="1"/>
    <col min="1538" max="1538" width="47.42578125" hidden="1"/>
    <col min="1539" max="1539" width="19.140625" hidden="1"/>
    <col min="1540" max="1540" width="14.7109375" hidden="1"/>
    <col min="1541" max="1541" width="16.85546875" hidden="1"/>
    <col min="1542" max="1542" width="17.5703125" hidden="1"/>
    <col min="1543" max="1543" width="22" hidden="1"/>
    <col min="1544" max="1544" width="9.140625" hidden="1"/>
    <col min="1545" max="1545" width="14.28515625" hidden="1"/>
    <col min="1546" max="1792" width="9.140625" hidden="1"/>
    <col min="1793" max="1793" width="7.42578125" hidden="1"/>
    <col min="1794" max="1794" width="47.42578125" hidden="1"/>
    <col min="1795" max="1795" width="19.140625" hidden="1"/>
    <col min="1796" max="1796" width="14.7109375" hidden="1"/>
    <col min="1797" max="1797" width="16.85546875" hidden="1"/>
    <col min="1798" max="1798" width="17.5703125" hidden="1"/>
    <col min="1799" max="1799" width="22" hidden="1"/>
    <col min="1800" max="1800" width="9.140625" hidden="1"/>
    <col min="1801" max="1801" width="14.28515625" hidden="1"/>
    <col min="1802" max="2048" width="9.140625" hidden="1"/>
    <col min="2049" max="2049" width="7.42578125" hidden="1"/>
    <col min="2050" max="2050" width="47.42578125" hidden="1"/>
    <col min="2051" max="2051" width="19.140625" hidden="1"/>
    <col min="2052" max="2052" width="14.7109375" hidden="1"/>
    <col min="2053" max="2053" width="16.85546875" hidden="1"/>
    <col min="2054" max="2054" width="17.5703125" hidden="1"/>
    <col min="2055" max="2055" width="22" hidden="1"/>
    <col min="2056" max="2056" width="9.140625" hidden="1"/>
    <col min="2057" max="2057" width="14.28515625" hidden="1"/>
    <col min="2058" max="2304" width="9.140625" hidden="1"/>
    <col min="2305" max="2305" width="7.42578125" hidden="1"/>
    <col min="2306" max="2306" width="47.42578125" hidden="1"/>
    <col min="2307" max="2307" width="19.140625" hidden="1"/>
    <col min="2308" max="2308" width="14.7109375" hidden="1"/>
    <col min="2309" max="2309" width="16.85546875" hidden="1"/>
    <col min="2310" max="2310" width="17.5703125" hidden="1"/>
    <col min="2311" max="2311" width="22" hidden="1"/>
    <col min="2312" max="2312" width="9.140625" hidden="1"/>
    <col min="2313" max="2313" width="14.28515625" hidden="1"/>
    <col min="2314" max="2560" width="9.140625" hidden="1"/>
    <col min="2561" max="2561" width="7.42578125" hidden="1"/>
    <col min="2562" max="2562" width="47.42578125" hidden="1"/>
    <col min="2563" max="2563" width="19.140625" hidden="1"/>
    <col min="2564" max="2564" width="14.7109375" hidden="1"/>
    <col min="2565" max="2565" width="16.85546875" hidden="1"/>
    <col min="2566" max="2566" width="17.5703125" hidden="1"/>
    <col min="2567" max="2567" width="22" hidden="1"/>
    <col min="2568" max="2568" width="9.140625" hidden="1"/>
    <col min="2569" max="2569" width="14.28515625" hidden="1"/>
    <col min="2570" max="2816" width="9.140625" hidden="1"/>
    <col min="2817" max="2817" width="7.42578125" hidden="1"/>
    <col min="2818" max="2818" width="47.42578125" hidden="1"/>
    <col min="2819" max="2819" width="19.140625" hidden="1"/>
    <col min="2820" max="2820" width="14.7109375" hidden="1"/>
    <col min="2821" max="2821" width="16.85546875" hidden="1"/>
    <col min="2822" max="2822" width="17.5703125" hidden="1"/>
    <col min="2823" max="2823" width="22" hidden="1"/>
    <col min="2824" max="2824" width="9.140625" hidden="1"/>
    <col min="2825" max="2825" width="14.28515625" hidden="1"/>
    <col min="2826" max="3072" width="9.140625" hidden="1"/>
    <col min="3073" max="3073" width="7.42578125" hidden="1"/>
    <col min="3074" max="3074" width="47.42578125" hidden="1"/>
    <col min="3075" max="3075" width="19.140625" hidden="1"/>
    <col min="3076" max="3076" width="14.7109375" hidden="1"/>
    <col min="3077" max="3077" width="16.85546875" hidden="1"/>
    <col min="3078" max="3078" width="17.5703125" hidden="1"/>
    <col min="3079" max="3079" width="22" hidden="1"/>
    <col min="3080" max="3080" width="9.140625" hidden="1"/>
    <col min="3081" max="3081" width="14.28515625" hidden="1"/>
    <col min="3082" max="3328" width="9.140625" hidden="1"/>
    <col min="3329" max="3329" width="7.42578125" hidden="1"/>
    <col min="3330" max="3330" width="47.42578125" hidden="1"/>
    <col min="3331" max="3331" width="19.140625" hidden="1"/>
    <col min="3332" max="3332" width="14.7109375" hidden="1"/>
    <col min="3333" max="3333" width="16.85546875" hidden="1"/>
    <col min="3334" max="3334" width="17.5703125" hidden="1"/>
    <col min="3335" max="3335" width="22" hidden="1"/>
    <col min="3336" max="3336" width="9.140625" hidden="1"/>
    <col min="3337" max="3337" width="14.28515625" hidden="1"/>
    <col min="3338" max="3584" width="9.140625" hidden="1"/>
    <col min="3585" max="3585" width="7.42578125" hidden="1"/>
    <col min="3586" max="3586" width="47.42578125" hidden="1"/>
    <col min="3587" max="3587" width="19.140625" hidden="1"/>
    <col min="3588" max="3588" width="14.7109375" hidden="1"/>
    <col min="3589" max="3589" width="16.85546875" hidden="1"/>
    <col min="3590" max="3590" width="17.5703125" hidden="1"/>
    <col min="3591" max="3591" width="22" hidden="1"/>
    <col min="3592" max="3592" width="9.140625" hidden="1"/>
    <col min="3593" max="3593" width="14.28515625" hidden="1"/>
    <col min="3594" max="3840" width="9.140625" hidden="1"/>
    <col min="3841" max="3841" width="7.42578125" hidden="1"/>
    <col min="3842" max="3842" width="47.42578125" hidden="1"/>
    <col min="3843" max="3843" width="19.140625" hidden="1"/>
    <col min="3844" max="3844" width="14.7109375" hidden="1"/>
    <col min="3845" max="3845" width="16.85546875" hidden="1"/>
    <col min="3846" max="3846" width="17.5703125" hidden="1"/>
    <col min="3847" max="3847" width="22" hidden="1"/>
    <col min="3848" max="3848" width="9.140625" hidden="1"/>
    <col min="3849" max="3849" width="14.28515625" hidden="1"/>
    <col min="3850" max="4096" width="9.140625" hidden="1"/>
    <col min="4097" max="4097" width="7.42578125" hidden="1"/>
    <col min="4098" max="4098" width="47.42578125" hidden="1"/>
    <col min="4099" max="4099" width="19.140625" hidden="1"/>
    <col min="4100" max="4100" width="14.7109375" hidden="1"/>
    <col min="4101" max="4101" width="16.85546875" hidden="1"/>
    <col min="4102" max="4102" width="17.5703125" hidden="1"/>
    <col min="4103" max="4103" width="22" hidden="1"/>
    <col min="4104" max="4104" width="9.140625" hidden="1"/>
    <col min="4105" max="4105" width="14.28515625" hidden="1"/>
    <col min="4106" max="4352" width="9.140625" hidden="1"/>
    <col min="4353" max="4353" width="7.42578125" hidden="1"/>
    <col min="4354" max="4354" width="47.42578125" hidden="1"/>
    <col min="4355" max="4355" width="19.140625" hidden="1"/>
    <col min="4356" max="4356" width="14.7109375" hidden="1"/>
    <col min="4357" max="4357" width="16.85546875" hidden="1"/>
    <col min="4358" max="4358" width="17.5703125" hidden="1"/>
    <col min="4359" max="4359" width="22" hidden="1"/>
    <col min="4360" max="4360" width="9.140625" hidden="1"/>
    <col min="4361" max="4361" width="14.28515625" hidden="1"/>
    <col min="4362" max="4608" width="9.140625" hidden="1"/>
    <col min="4609" max="4609" width="7.42578125" hidden="1"/>
    <col min="4610" max="4610" width="47.42578125" hidden="1"/>
    <col min="4611" max="4611" width="19.140625" hidden="1"/>
    <col min="4612" max="4612" width="14.7109375" hidden="1"/>
    <col min="4613" max="4613" width="16.85546875" hidden="1"/>
    <col min="4614" max="4614" width="17.5703125" hidden="1"/>
    <col min="4615" max="4615" width="22" hidden="1"/>
    <col min="4616" max="4616" width="9.140625" hidden="1"/>
    <col min="4617" max="4617" width="14.28515625" hidden="1"/>
    <col min="4618" max="4864" width="9.140625" hidden="1"/>
    <col min="4865" max="4865" width="7.42578125" hidden="1"/>
    <col min="4866" max="4866" width="47.42578125" hidden="1"/>
    <col min="4867" max="4867" width="19.140625" hidden="1"/>
    <col min="4868" max="4868" width="14.7109375" hidden="1"/>
    <col min="4869" max="4869" width="16.85546875" hidden="1"/>
    <col min="4870" max="4870" width="17.5703125" hidden="1"/>
    <col min="4871" max="4871" width="22" hidden="1"/>
    <col min="4872" max="4872" width="9.140625" hidden="1"/>
    <col min="4873" max="4873" width="14.28515625" hidden="1"/>
    <col min="4874" max="5120" width="9.140625" hidden="1"/>
    <col min="5121" max="5121" width="7.42578125" hidden="1"/>
    <col min="5122" max="5122" width="47.42578125" hidden="1"/>
    <col min="5123" max="5123" width="19.140625" hidden="1"/>
    <col min="5124" max="5124" width="14.7109375" hidden="1"/>
    <col min="5125" max="5125" width="16.85546875" hidden="1"/>
    <col min="5126" max="5126" width="17.5703125" hidden="1"/>
    <col min="5127" max="5127" width="22" hidden="1"/>
    <col min="5128" max="5128" width="9.140625" hidden="1"/>
    <col min="5129" max="5129" width="14.28515625" hidden="1"/>
    <col min="5130" max="5376" width="9.140625" hidden="1"/>
    <col min="5377" max="5377" width="7.42578125" hidden="1"/>
    <col min="5378" max="5378" width="47.42578125" hidden="1"/>
    <col min="5379" max="5379" width="19.140625" hidden="1"/>
    <col min="5380" max="5380" width="14.7109375" hidden="1"/>
    <col min="5381" max="5381" width="16.85546875" hidden="1"/>
    <col min="5382" max="5382" width="17.5703125" hidden="1"/>
    <col min="5383" max="5383" width="22" hidden="1"/>
    <col min="5384" max="5384" width="9.140625" hidden="1"/>
    <col min="5385" max="5385" width="14.28515625" hidden="1"/>
    <col min="5386" max="5632" width="9.140625" hidden="1"/>
    <col min="5633" max="5633" width="7.42578125" hidden="1"/>
    <col min="5634" max="5634" width="47.42578125" hidden="1"/>
    <col min="5635" max="5635" width="19.140625" hidden="1"/>
    <col min="5636" max="5636" width="14.7109375" hidden="1"/>
    <col min="5637" max="5637" width="16.85546875" hidden="1"/>
    <col min="5638" max="5638" width="17.5703125" hidden="1"/>
    <col min="5639" max="5639" width="22" hidden="1"/>
    <col min="5640" max="5640" width="9.140625" hidden="1"/>
    <col min="5641" max="5641" width="14.28515625" hidden="1"/>
    <col min="5642" max="5888" width="9.140625" hidden="1"/>
    <col min="5889" max="5889" width="7.42578125" hidden="1"/>
    <col min="5890" max="5890" width="47.42578125" hidden="1"/>
    <col min="5891" max="5891" width="19.140625" hidden="1"/>
    <col min="5892" max="5892" width="14.7109375" hidden="1"/>
    <col min="5893" max="5893" width="16.85546875" hidden="1"/>
    <col min="5894" max="5894" width="17.5703125" hidden="1"/>
    <col min="5895" max="5895" width="22" hidden="1"/>
    <col min="5896" max="5896" width="9.140625" hidden="1"/>
    <col min="5897" max="5897" width="14.28515625" hidden="1"/>
    <col min="5898" max="6144" width="9.140625" hidden="1"/>
    <col min="6145" max="6145" width="7.42578125" hidden="1"/>
    <col min="6146" max="6146" width="47.42578125" hidden="1"/>
    <col min="6147" max="6147" width="19.140625" hidden="1"/>
    <col min="6148" max="6148" width="14.7109375" hidden="1"/>
    <col min="6149" max="6149" width="16.85546875" hidden="1"/>
    <col min="6150" max="6150" width="17.5703125" hidden="1"/>
    <col min="6151" max="6151" width="22" hidden="1"/>
    <col min="6152" max="6152" width="9.140625" hidden="1"/>
    <col min="6153" max="6153" width="14.28515625" hidden="1"/>
    <col min="6154" max="6400" width="9.140625" hidden="1"/>
    <col min="6401" max="6401" width="7.42578125" hidden="1"/>
    <col min="6402" max="6402" width="47.42578125" hidden="1"/>
    <col min="6403" max="6403" width="19.140625" hidden="1"/>
    <col min="6404" max="6404" width="14.7109375" hidden="1"/>
    <col min="6405" max="6405" width="16.85546875" hidden="1"/>
    <col min="6406" max="6406" width="17.5703125" hidden="1"/>
    <col min="6407" max="6407" width="22" hidden="1"/>
    <col min="6408" max="6408" width="9.140625" hidden="1"/>
    <col min="6409" max="6409" width="14.28515625" hidden="1"/>
    <col min="6410" max="6656" width="9.140625" hidden="1"/>
    <col min="6657" max="6657" width="7.42578125" hidden="1"/>
    <col min="6658" max="6658" width="47.42578125" hidden="1"/>
    <col min="6659" max="6659" width="19.140625" hidden="1"/>
    <col min="6660" max="6660" width="14.7109375" hidden="1"/>
    <col min="6661" max="6661" width="16.85546875" hidden="1"/>
    <col min="6662" max="6662" width="17.5703125" hidden="1"/>
    <col min="6663" max="6663" width="22" hidden="1"/>
    <col min="6664" max="6664" width="9.140625" hidden="1"/>
    <col min="6665" max="6665" width="14.28515625" hidden="1"/>
    <col min="6666" max="6912" width="9.140625" hidden="1"/>
    <col min="6913" max="6913" width="7.42578125" hidden="1"/>
    <col min="6914" max="6914" width="47.42578125" hidden="1"/>
    <col min="6915" max="6915" width="19.140625" hidden="1"/>
    <col min="6916" max="6916" width="14.7109375" hidden="1"/>
    <col min="6917" max="6917" width="16.85546875" hidden="1"/>
    <col min="6918" max="6918" width="17.5703125" hidden="1"/>
    <col min="6919" max="6919" width="22" hidden="1"/>
    <col min="6920" max="6920" width="9.140625" hidden="1"/>
    <col min="6921" max="6921" width="14.28515625" hidden="1"/>
    <col min="6922" max="7168" width="9.140625" hidden="1"/>
    <col min="7169" max="7169" width="7.42578125" hidden="1"/>
    <col min="7170" max="7170" width="47.42578125" hidden="1"/>
    <col min="7171" max="7171" width="19.140625" hidden="1"/>
    <col min="7172" max="7172" width="14.7109375" hidden="1"/>
    <col min="7173" max="7173" width="16.85546875" hidden="1"/>
    <col min="7174" max="7174" width="17.5703125" hidden="1"/>
    <col min="7175" max="7175" width="22" hidden="1"/>
    <col min="7176" max="7176" width="9.140625" hidden="1"/>
    <col min="7177" max="7177" width="14.28515625" hidden="1"/>
    <col min="7178" max="7424" width="9.140625" hidden="1"/>
    <col min="7425" max="7425" width="7.42578125" hidden="1"/>
    <col min="7426" max="7426" width="47.42578125" hidden="1"/>
    <col min="7427" max="7427" width="19.140625" hidden="1"/>
    <col min="7428" max="7428" width="14.7109375" hidden="1"/>
    <col min="7429" max="7429" width="16.85546875" hidden="1"/>
    <col min="7430" max="7430" width="17.5703125" hidden="1"/>
    <col min="7431" max="7431" width="22" hidden="1"/>
    <col min="7432" max="7432" width="9.140625" hidden="1"/>
    <col min="7433" max="7433" width="14.28515625" hidden="1"/>
    <col min="7434" max="7680" width="9.140625" hidden="1"/>
    <col min="7681" max="7681" width="7.42578125" hidden="1"/>
    <col min="7682" max="7682" width="47.42578125" hidden="1"/>
    <col min="7683" max="7683" width="19.140625" hidden="1"/>
    <col min="7684" max="7684" width="14.7109375" hidden="1"/>
    <col min="7685" max="7685" width="16.85546875" hidden="1"/>
    <col min="7686" max="7686" width="17.5703125" hidden="1"/>
    <col min="7687" max="7687" width="22" hidden="1"/>
    <col min="7688" max="7688" width="9.140625" hidden="1"/>
    <col min="7689" max="7689" width="14.28515625" hidden="1"/>
    <col min="7690" max="7936" width="9.140625" hidden="1"/>
    <col min="7937" max="7937" width="7.42578125" hidden="1"/>
    <col min="7938" max="7938" width="47.42578125" hidden="1"/>
    <col min="7939" max="7939" width="19.140625" hidden="1"/>
    <col min="7940" max="7940" width="14.7109375" hidden="1"/>
    <col min="7941" max="7941" width="16.85546875" hidden="1"/>
    <col min="7942" max="7942" width="17.5703125" hidden="1"/>
    <col min="7943" max="7943" width="22" hidden="1"/>
    <col min="7944" max="7944" width="9.140625" hidden="1"/>
    <col min="7945" max="7945" width="14.28515625" hidden="1"/>
    <col min="7946" max="8192" width="9.140625" hidden="1"/>
    <col min="8193" max="8193" width="7.42578125" hidden="1"/>
    <col min="8194" max="8194" width="47.42578125" hidden="1"/>
    <col min="8195" max="8195" width="19.140625" hidden="1"/>
    <col min="8196" max="8196" width="14.7109375" hidden="1"/>
    <col min="8197" max="8197" width="16.85546875" hidden="1"/>
    <col min="8198" max="8198" width="17.5703125" hidden="1"/>
    <col min="8199" max="8199" width="22" hidden="1"/>
    <col min="8200" max="8200" width="9.140625" hidden="1"/>
    <col min="8201" max="8201" width="14.28515625" hidden="1"/>
    <col min="8202" max="8448" width="9.140625" hidden="1"/>
    <col min="8449" max="8449" width="7.42578125" hidden="1"/>
    <col min="8450" max="8450" width="47.42578125" hidden="1"/>
    <col min="8451" max="8451" width="19.140625" hidden="1"/>
    <col min="8452" max="8452" width="14.7109375" hidden="1"/>
    <col min="8453" max="8453" width="16.85546875" hidden="1"/>
    <col min="8454" max="8454" width="17.5703125" hidden="1"/>
    <col min="8455" max="8455" width="22" hidden="1"/>
    <col min="8456" max="8456" width="9.140625" hidden="1"/>
    <col min="8457" max="8457" width="14.28515625" hidden="1"/>
    <col min="8458" max="8704" width="9.140625" hidden="1"/>
    <col min="8705" max="8705" width="7.42578125" hidden="1"/>
    <col min="8706" max="8706" width="47.42578125" hidden="1"/>
    <col min="8707" max="8707" width="19.140625" hidden="1"/>
    <col min="8708" max="8708" width="14.7109375" hidden="1"/>
    <col min="8709" max="8709" width="16.85546875" hidden="1"/>
    <col min="8710" max="8710" width="17.5703125" hidden="1"/>
    <col min="8711" max="8711" width="22" hidden="1"/>
    <col min="8712" max="8712" width="9.140625" hidden="1"/>
    <col min="8713" max="8713" width="14.28515625" hidden="1"/>
    <col min="8714" max="8960" width="9.140625" hidden="1"/>
    <col min="8961" max="8961" width="7.42578125" hidden="1"/>
    <col min="8962" max="8962" width="47.42578125" hidden="1"/>
    <col min="8963" max="8963" width="19.140625" hidden="1"/>
    <col min="8964" max="8964" width="14.7109375" hidden="1"/>
    <col min="8965" max="8965" width="16.85546875" hidden="1"/>
    <col min="8966" max="8966" width="17.5703125" hidden="1"/>
    <col min="8967" max="8967" width="22" hidden="1"/>
    <col min="8968" max="8968" width="9.140625" hidden="1"/>
    <col min="8969" max="8969" width="14.28515625" hidden="1"/>
    <col min="8970" max="9216" width="9.140625" hidden="1"/>
    <col min="9217" max="9217" width="7.42578125" hidden="1"/>
    <col min="9218" max="9218" width="47.42578125" hidden="1"/>
    <col min="9219" max="9219" width="19.140625" hidden="1"/>
    <col min="9220" max="9220" width="14.7109375" hidden="1"/>
    <col min="9221" max="9221" width="16.85546875" hidden="1"/>
    <col min="9222" max="9222" width="17.5703125" hidden="1"/>
    <col min="9223" max="9223" width="22" hidden="1"/>
    <col min="9224" max="9224" width="9.140625" hidden="1"/>
    <col min="9225" max="9225" width="14.28515625" hidden="1"/>
    <col min="9226" max="9472" width="9.140625" hidden="1"/>
    <col min="9473" max="9473" width="7.42578125" hidden="1"/>
    <col min="9474" max="9474" width="47.42578125" hidden="1"/>
    <col min="9475" max="9475" width="19.140625" hidden="1"/>
    <col min="9476" max="9476" width="14.7109375" hidden="1"/>
    <col min="9477" max="9477" width="16.85546875" hidden="1"/>
    <col min="9478" max="9478" width="17.5703125" hidden="1"/>
    <col min="9479" max="9479" width="22" hidden="1"/>
    <col min="9480" max="9480" width="9.140625" hidden="1"/>
    <col min="9481" max="9481" width="14.28515625" hidden="1"/>
    <col min="9482" max="9728" width="9.140625" hidden="1"/>
    <col min="9729" max="9729" width="7.42578125" hidden="1"/>
    <col min="9730" max="9730" width="47.42578125" hidden="1"/>
    <col min="9731" max="9731" width="19.140625" hidden="1"/>
    <col min="9732" max="9732" width="14.7109375" hidden="1"/>
    <col min="9733" max="9733" width="16.85546875" hidden="1"/>
    <col min="9734" max="9734" width="17.5703125" hidden="1"/>
    <col min="9735" max="9735" width="22" hidden="1"/>
    <col min="9736" max="9736" width="9.140625" hidden="1"/>
    <col min="9737" max="9737" width="14.28515625" hidden="1"/>
    <col min="9738" max="9984" width="9.140625" hidden="1"/>
    <col min="9985" max="9985" width="7.42578125" hidden="1"/>
    <col min="9986" max="9986" width="47.42578125" hidden="1"/>
    <col min="9987" max="9987" width="19.140625" hidden="1"/>
    <col min="9988" max="9988" width="14.7109375" hidden="1"/>
    <col min="9989" max="9989" width="16.85546875" hidden="1"/>
    <col min="9990" max="9990" width="17.5703125" hidden="1"/>
    <col min="9991" max="9991" width="22" hidden="1"/>
    <col min="9992" max="9992" width="9.140625" hidden="1"/>
    <col min="9993" max="9993" width="14.28515625" hidden="1"/>
    <col min="9994" max="10240" width="9.140625" hidden="1"/>
    <col min="10241" max="10241" width="7.42578125" hidden="1"/>
    <col min="10242" max="10242" width="47.42578125" hidden="1"/>
    <col min="10243" max="10243" width="19.140625" hidden="1"/>
    <col min="10244" max="10244" width="14.7109375" hidden="1"/>
    <col min="10245" max="10245" width="16.85546875" hidden="1"/>
    <col min="10246" max="10246" width="17.5703125" hidden="1"/>
    <col min="10247" max="10247" width="22" hidden="1"/>
    <col min="10248" max="10248" width="9.140625" hidden="1"/>
    <col min="10249" max="10249" width="14.28515625" hidden="1"/>
    <col min="10250" max="10496" width="9.140625" hidden="1"/>
    <col min="10497" max="10497" width="7.42578125" hidden="1"/>
    <col min="10498" max="10498" width="47.42578125" hidden="1"/>
    <col min="10499" max="10499" width="19.140625" hidden="1"/>
    <col min="10500" max="10500" width="14.7109375" hidden="1"/>
    <col min="10501" max="10501" width="16.85546875" hidden="1"/>
    <col min="10502" max="10502" width="17.5703125" hidden="1"/>
    <col min="10503" max="10503" width="22" hidden="1"/>
    <col min="10504" max="10504" width="9.140625" hidden="1"/>
    <col min="10505" max="10505" width="14.28515625" hidden="1"/>
    <col min="10506" max="10752" width="9.140625" hidden="1"/>
    <col min="10753" max="10753" width="7.42578125" hidden="1"/>
    <col min="10754" max="10754" width="47.42578125" hidden="1"/>
    <col min="10755" max="10755" width="19.140625" hidden="1"/>
    <col min="10756" max="10756" width="14.7109375" hidden="1"/>
    <col min="10757" max="10757" width="16.85546875" hidden="1"/>
    <col min="10758" max="10758" width="17.5703125" hidden="1"/>
    <col min="10759" max="10759" width="22" hidden="1"/>
    <col min="10760" max="10760" width="9.140625" hidden="1"/>
    <col min="10761" max="10761" width="14.28515625" hidden="1"/>
    <col min="10762" max="11008" width="9.140625" hidden="1"/>
    <col min="11009" max="11009" width="7.42578125" hidden="1"/>
    <col min="11010" max="11010" width="47.42578125" hidden="1"/>
    <col min="11011" max="11011" width="19.140625" hidden="1"/>
    <col min="11012" max="11012" width="14.7109375" hidden="1"/>
    <col min="11013" max="11013" width="16.85546875" hidden="1"/>
    <col min="11014" max="11014" width="17.5703125" hidden="1"/>
    <col min="11015" max="11015" width="22" hidden="1"/>
    <col min="11016" max="11016" width="9.140625" hidden="1"/>
    <col min="11017" max="11017" width="14.28515625" hidden="1"/>
    <col min="11018" max="11264" width="9.140625" hidden="1"/>
    <col min="11265" max="11265" width="7.42578125" hidden="1"/>
    <col min="11266" max="11266" width="47.42578125" hidden="1"/>
    <col min="11267" max="11267" width="19.140625" hidden="1"/>
    <col min="11268" max="11268" width="14.7109375" hidden="1"/>
    <col min="11269" max="11269" width="16.85546875" hidden="1"/>
    <col min="11270" max="11270" width="17.5703125" hidden="1"/>
    <col min="11271" max="11271" width="22" hidden="1"/>
    <col min="11272" max="11272" width="9.140625" hidden="1"/>
    <col min="11273" max="11273" width="14.28515625" hidden="1"/>
    <col min="11274" max="11520" width="9.140625" hidden="1"/>
    <col min="11521" max="11521" width="7.42578125" hidden="1"/>
    <col min="11522" max="11522" width="47.42578125" hidden="1"/>
    <col min="11523" max="11523" width="19.140625" hidden="1"/>
    <col min="11524" max="11524" width="14.7109375" hidden="1"/>
    <col min="11525" max="11525" width="16.85546875" hidden="1"/>
    <col min="11526" max="11526" width="17.5703125" hidden="1"/>
    <col min="11527" max="11527" width="22" hidden="1"/>
    <col min="11528" max="11528" width="9.140625" hidden="1"/>
    <col min="11529" max="11529" width="14.28515625" hidden="1"/>
    <col min="11530" max="11776" width="9.140625" hidden="1"/>
    <col min="11777" max="11777" width="7.42578125" hidden="1"/>
    <col min="11778" max="11778" width="47.42578125" hidden="1"/>
    <col min="11779" max="11779" width="19.140625" hidden="1"/>
    <col min="11780" max="11780" width="14.7109375" hidden="1"/>
    <col min="11781" max="11781" width="16.85546875" hidden="1"/>
    <col min="11782" max="11782" width="17.5703125" hidden="1"/>
    <col min="11783" max="11783" width="22" hidden="1"/>
    <col min="11784" max="11784" width="9.140625" hidden="1"/>
    <col min="11785" max="11785" width="14.28515625" hidden="1"/>
    <col min="11786" max="12032" width="9.140625" hidden="1"/>
    <col min="12033" max="12033" width="7.42578125" hidden="1"/>
    <col min="12034" max="12034" width="47.42578125" hidden="1"/>
    <col min="12035" max="12035" width="19.140625" hidden="1"/>
    <col min="12036" max="12036" width="14.7109375" hidden="1"/>
    <col min="12037" max="12037" width="16.85546875" hidden="1"/>
    <col min="12038" max="12038" width="17.5703125" hidden="1"/>
    <col min="12039" max="12039" width="22" hidden="1"/>
    <col min="12040" max="12040" width="9.140625" hidden="1"/>
    <col min="12041" max="12041" width="14.28515625" hidden="1"/>
    <col min="12042" max="12288" width="9.140625" hidden="1"/>
    <col min="12289" max="12289" width="7.42578125" hidden="1"/>
    <col min="12290" max="12290" width="47.42578125" hidden="1"/>
    <col min="12291" max="12291" width="19.140625" hidden="1"/>
    <col min="12292" max="12292" width="14.7109375" hidden="1"/>
    <col min="12293" max="12293" width="16.85546875" hidden="1"/>
    <col min="12294" max="12294" width="17.5703125" hidden="1"/>
    <col min="12295" max="12295" width="22" hidden="1"/>
    <col min="12296" max="12296" width="9.140625" hidden="1"/>
    <col min="12297" max="12297" width="14.28515625" hidden="1"/>
    <col min="12298" max="12544" width="9.140625" hidden="1"/>
    <col min="12545" max="12545" width="7.42578125" hidden="1"/>
    <col min="12546" max="12546" width="47.42578125" hidden="1"/>
    <col min="12547" max="12547" width="19.140625" hidden="1"/>
    <col min="12548" max="12548" width="14.7109375" hidden="1"/>
    <col min="12549" max="12549" width="16.85546875" hidden="1"/>
    <col min="12550" max="12550" width="17.5703125" hidden="1"/>
    <col min="12551" max="12551" width="22" hidden="1"/>
    <col min="12552" max="12552" width="9.140625" hidden="1"/>
    <col min="12553" max="12553" width="14.28515625" hidden="1"/>
    <col min="12554" max="12800" width="9.140625" hidden="1"/>
    <col min="12801" max="12801" width="7.42578125" hidden="1"/>
    <col min="12802" max="12802" width="47.42578125" hidden="1"/>
    <col min="12803" max="12803" width="19.140625" hidden="1"/>
    <col min="12804" max="12804" width="14.7109375" hidden="1"/>
    <col min="12805" max="12805" width="16.85546875" hidden="1"/>
    <col min="12806" max="12806" width="17.5703125" hidden="1"/>
    <col min="12807" max="12807" width="22" hidden="1"/>
    <col min="12808" max="12808" width="9.140625" hidden="1"/>
    <col min="12809" max="12809" width="14.28515625" hidden="1"/>
    <col min="12810" max="13056" width="9.140625" hidden="1"/>
    <col min="13057" max="13057" width="7.42578125" hidden="1"/>
    <col min="13058" max="13058" width="47.42578125" hidden="1"/>
    <col min="13059" max="13059" width="19.140625" hidden="1"/>
    <col min="13060" max="13060" width="14.7109375" hidden="1"/>
    <col min="13061" max="13061" width="16.85546875" hidden="1"/>
    <col min="13062" max="13062" width="17.5703125" hidden="1"/>
    <col min="13063" max="13063" width="22" hidden="1"/>
    <col min="13064" max="13064" width="9.140625" hidden="1"/>
    <col min="13065" max="13065" width="14.28515625" hidden="1"/>
    <col min="13066" max="13312" width="9.140625" hidden="1"/>
    <col min="13313" max="13313" width="7.42578125" hidden="1"/>
    <col min="13314" max="13314" width="47.42578125" hidden="1"/>
    <col min="13315" max="13315" width="19.140625" hidden="1"/>
    <col min="13316" max="13316" width="14.7109375" hidden="1"/>
    <col min="13317" max="13317" width="16.85546875" hidden="1"/>
    <col min="13318" max="13318" width="17.5703125" hidden="1"/>
    <col min="13319" max="13319" width="22" hidden="1"/>
    <col min="13320" max="13320" width="9.140625" hidden="1"/>
    <col min="13321" max="13321" width="14.28515625" hidden="1"/>
    <col min="13322" max="13568" width="9.140625" hidden="1"/>
    <col min="13569" max="13569" width="7.42578125" hidden="1"/>
    <col min="13570" max="13570" width="47.42578125" hidden="1"/>
    <col min="13571" max="13571" width="19.140625" hidden="1"/>
    <col min="13572" max="13572" width="14.7109375" hidden="1"/>
    <col min="13573" max="13573" width="16.85546875" hidden="1"/>
    <col min="13574" max="13574" width="17.5703125" hidden="1"/>
    <col min="13575" max="13575" width="22" hidden="1"/>
    <col min="13576" max="13576" width="9.140625" hidden="1"/>
    <col min="13577" max="13577" width="14.28515625" hidden="1"/>
    <col min="13578" max="13824" width="9.140625" hidden="1"/>
    <col min="13825" max="13825" width="7.42578125" hidden="1"/>
    <col min="13826" max="13826" width="47.42578125" hidden="1"/>
    <col min="13827" max="13827" width="19.140625" hidden="1"/>
    <col min="13828" max="13828" width="14.7109375" hidden="1"/>
    <col min="13829" max="13829" width="16.85546875" hidden="1"/>
    <col min="13830" max="13830" width="17.5703125" hidden="1"/>
    <col min="13831" max="13831" width="22" hidden="1"/>
    <col min="13832" max="13832" width="9.140625" hidden="1"/>
    <col min="13833" max="13833" width="14.28515625" hidden="1"/>
    <col min="13834" max="14080" width="9.140625" hidden="1"/>
    <col min="14081" max="14081" width="7.42578125" hidden="1"/>
    <col min="14082" max="14082" width="47.42578125" hidden="1"/>
    <col min="14083" max="14083" width="19.140625" hidden="1"/>
    <col min="14084" max="14084" width="14.7109375" hidden="1"/>
    <col min="14085" max="14085" width="16.85546875" hidden="1"/>
    <col min="14086" max="14086" width="17.5703125" hidden="1"/>
    <col min="14087" max="14087" width="22" hidden="1"/>
    <col min="14088" max="14088" width="9.140625" hidden="1"/>
    <col min="14089" max="14089" width="14.28515625" hidden="1"/>
    <col min="14090" max="14336" width="9.140625" hidden="1"/>
    <col min="14337" max="14337" width="7.42578125" hidden="1"/>
    <col min="14338" max="14338" width="47.42578125" hidden="1"/>
    <col min="14339" max="14339" width="19.140625" hidden="1"/>
    <col min="14340" max="14340" width="14.7109375" hidden="1"/>
    <col min="14341" max="14341" width="16.85546875" hidden="1"/>
    <col min="14342" max="14342" width="17.5703125" hidden="1"/>
    <col min="14343" max="14343" width="22" hidden="1"/>
    <col min="14344" max="14344" width="9.140625" hidden="1"/>
    <col min="14345" max="14345" width="14.28515625" hidden="1"/>
    <col min="14346" max="14592" width="9.140625" hidden="1"/>
    <col min="14593" max="14593" width="7.42578125" hidden="1"/>
    <col min="14594" max="14594" width="47.42578125" hidden="1"/>
    <col min="14595" max="14595" width="19.140625" hidden="1"/>
    <col min="14596" max="14596" width="14.7109375" hidden="1"/>
    <col min="14597" max="14597" width="16.85546875" hidden="1"/>
    <col min="14598" max="14598" width="17.5703125" hidden="1"/>
    <col min="14599" max="14599" width="22" hidden="1"/>
    <col min="14600" max="14600" width="9.140625" hidden="1"/>
    <col min="14601" max="14601" width="14.28515625" hidden="1"/>
    <col min="14602" max="14848" width="9.140625" hidden="1"/>
    <col min="14849" max="14849" width="7.42578125" hidden="1"/>
    <col min="14850" max="14850" width="47.42578125" hidden="1"/>
    <col min="14851" max="14851" width="19.140625" hidden="1"/>
    <col min="14852" max="14852" width="14.7109375" hidden="1"/>
    <col min="14853" max="14853" width="16.85546875" hidden="1"/>
    <col min="14854" max="14854" width="17.5703125" hidden="1"/>
    <col min="14855" max="14855" width="22" hidden="1"/>
    <col min="14856" max="14856" width="9.140625" hidden="1"/>
    <col min="14857" max="14857" width="14.28515625" hidden="1"/>
    <col min="14858" max="15104" width="9.140625" hidden="1"/>
    <col min="15105" max="15105" width="7.42578125" hidden="1"/>
    <col min="15106" max="15106" width="47.42578125" hidden="1"/>
    <col min="15107" max="15107" width="19.140625" hidden="1"/>
    <col min="15108" max="15108" width="14.7109375" hidden="1"/>
    <col min="15109" max="15109" width="16.85546875" hidden="1"/>
    <col min="15110" max="15110" width="17.5703125" hidden="1"/>
    <col min="15111" max="15111" width="22" hidden="1"/>
    <col min="15112" max="15112" width="9.140625" hidden="1"/>
    <col min="15113" max="15113" width="14.28515625" hidden="1"/>
    <col min="15114" max="15360" width="9.140625" hidden="1"/>
    <col min="15361" max="15361" width="7.42578125" hidden="1"/>
    <col min="15362" max="15362" width="47.42578125" hidden="1"/>
    <col min="15363" max="15363" width="19.140625" hidden="1"/>
    <col min="15364" max="15364" width="14.7109375" hidden="1"/>
    <col min="15365" max="15365" width="16.85546875" hidden="1"/>
    <col min="15366" max="15366" width="17.5703125" hidden="1"/>
    <col min="15367" max="15367" width="22" hidden="1"/>
    <col min="15368" max="15368" width="9.140625" hidden="1"/>
    <col min="15369" max="15369" width="14.28515625" hidden="1"/>
    <col min="15370" max="15616" width="9.140625" hidden="1"/>
    <col min="15617" max="15617" width="7.42578125" hidden="1"/>
    <col min="15618" max="15618" width="47.42578125" hidden="1"/>
    <col min="15619" max="15619" width="19.140625" hidden="1"/>
    <col min="15620" max="15620" width="14.7109375" hidden="1"/>
    <col min="15621" max="15621" width="16.85546875" hidden="1"/>
    <col min="15622" max="15622" width="17.5703125" hidden="1"/>
    <col min="15623" max="15623" width="22" hidden="1"/>
    <col min="15624" max="15624" width="9.140625" hidden="1"/>
    <col min="15625" max="15625" width="14.28515625" hidden="1"/>
    <col min="15626" max="15872" width="9.140625" hidden="1"/>
    <col min="15873" max="15873" width="7.42578125" hidden="1"/>
    <col min="15874" max="15874" width="47.42578125" hidden="1"/>
    <col min="15875" max="15875" width="19.140625" hidden="1"/>
    <col min="15876" max="15876" width="14.7109375" hidden="1"/>
    <col min="15877" max="15877" width="16.85546875" hidden="1"/>
    <col min="15878" max="15878" width="17.5703125" hidden="1"/>
    <col min="15879" max="15879" width="22" hidden="1"/>
    <col min="15880" max="15880" width="9.140625" hidden="1"/>
    <col min="15881" max="15881" width="14.28515625" hidden="1"/>
    <col min="15882" max="16128" width="9.140625" hidden="1"/>
    <col min="16129" max="16129" width="7.42578125" hidden="1"/>
    <col min="16130" max="16130" width="47.42578125" hidden="1"/>
    <col min="16131" max="16131" width="19.140625" hidden="1"/>
    <col min="16132" max="16132" width="14.7109375" hidden="1"/>
    <col min="16133" max="16133" width="16.85546875" hidden="1"/>
    <col min="16134" max="16134" width="17.5703125" hidden="1"/>
    <col min="16135" max="16135" width="22" hidden="1"/>
    <col min="16136" max="16136" width="9.140625" hidden="1"/>
    <col min="16137" max="16138" width="14.28515625" hidden="1"/>
    <col min="16139" max="16384" width="9.140625" hidden="1"/>
  </cols>
  <sheetData>
    <row r="1" spans="2:11" ht="15.75" thickBot="1" x14ac:dyDescent="0.3">
      <c r="B1" s="82"/>
      <c r="C1" s="82"/>
      <c r="D1" s="82"/>
      <c r="E1" s="82"/>
      <c r="F1" s="82"/>
      <c r="G1" s="82"/>
    </row>
    <row r="2" spans="2:11" ht="21" thickBot="1" x14ac:dyDescent="0.3">
      <c r="B2" s="196" t="s">
        <v>191</v>
      </c>
      <c r="C2" s="197"/>
      <c r="D2" s="197"/>
      <c r="E2" s="197"/>
      <c r="F2" s="197"/>
      <c r="G2" s="198"/>
    </row>
    <row r="3" spans="2:11" ht="19.5" thickBot="1" x14ac:dyDescent="0.3">
      <c r="B3" s="190" t="s">
        <v>190</v>
      </c>
      <c r="C3" s="191"/>
      <c r="D3" s="191"/>
      <c r="E3" s="191"/>
      <c r="F3" s="191"/>
      <c r="G3" s="192"/>
    </row>
    <row r="4" spans="2:11" ht="48" thickBot="1" x14ac:dyDescent="0.3">
      <c r="B4" s="73"/>
      <c r="C4" s="74" t="s">
        <v>141</v>
      </c>
      <c r="D4" s="73" t="s">
        <v>202</v>
      </c>
      <c r="E4" s="73" t="s">
        <v>201</v>
      </c>
      <c r="F4" s="73" t="s">
        <v>203</v>
      </c>
      <c r="G4" s="73" t="s">
        <v>200</v>
      </c>
    </row>
    <row r="5" spans="2:11" ht="16.5" thickBot="1" x14ac:dyDescent="0.3">
      <c r="B5" s="75">
        <v>1</v>
      </c>
      <c r="C5" s="76" t="s">
        <v>143</v>
      </c>
      <c r="D5" s="202">
        <v>2</v>
      </c>
      <c r="E5" s="85">
        <f>G5/F5</f>
        <v>10207.73</v>
      </c>
      <c r="F5" s="182">
        <f>'SR Diurno'!C12+'TLS Diurno'!C12+'DRS Diurno'!C12+'PPA Diurno'!C12+'CRA Diurno'!C12</f>
        <v>5</v>
      </c>
      <c r="G5" s="77">
        <f>('SR Diurno'!C12*'SR Diurno'!D135)+('TLS Diurno'!C12*'TLS Diurno'!D135)+('DRS Diurno'!C12*'DRS Diurno'!D135)+('PPA Diurno'!C12*'PPA Diurno'!D135)+('CRA Diurno'!C12*'CRA Diurno'!D135)</f>
        <v>51038.649999999994</v>
      </c>
      <c r="I5" s="78"/>
      <c r="J5" s="79"/>
      <c r="K5" s="79"/>
    </row>
    <row r="6" spans="2:11" ht="16.5" thickBot="1" x14ac:dyDescent="0.3">
      <c r="B6" s="75">
        <v>2</v>
      </c>
      <c r="C6" s="76" t="s">
        <v>144</v>
      </c>
      <c r="D6" s="203"/>
      <c r="E6" s="85">
        <f>G6/F6</f>
        <v>11586.229999999998</v>
      </c>
      <c r="F6" s="75">
        <f>'SR Noturno'!C12+'PPA - Noturno'!C12+'DRS Noturno'!C12+'NVI Noturno'!C12</f>
        <v>7</v>
      </c>
      <c r="G6" s="77">
        <f>('SR Noturno'!C12*'SR Noturno'!D135)+('PPA - Noturno'!C12*'PPA - Noturno'!D135)+('DRS Noturno'!C12*'DRS Noturno'!D135)+('NVI Noturno'!C12*'NVI Noturno'!D135)</f>
        <v>81103.609999999986</v>
      </c>
      <c r="I6" s="78"/>
      <c r="J6" s="79"/>
      <c r="K6" s="79"/>
    </row>
    <row r="7" spans="2:11" ht="16.5" thickBot="1" x14ac:dyDescent="0.3">
      <c r="B7" s="193" t="s">
        <v>145</v>
      </c>
      <c r="C7" s="194"/>
      <c r="D7" s="194"/>
      <c r="E7" s="195"/>
      <c r="F7" s="80">
        <f>SUM(F5:F6)</f>
        <v>12</v>
      </c>
      <c r="G7" s="81">
        <f>ROUND((+SUM(G5:G6)),2)</f>
        <v>132142.26</v>
      </c>
    </row>
    <row r="8" spans="2:11" ht="16.5" thickBot="1" x14ac:dyDescent="0.3">
      <c r="B8" s="199" t="s">
        <v>147</v>
      </c>
      <c r="C8" s="200"/>
      <c r="D8" s="200"/>
      <c r="E8" s="200"/>
      <c r="F8" s="201"/>
      <c r="G8" s="81">
        <f>G7*20</f>
        <v>2642845.2000000002</v>
      </c>
    </row>
    <row r="9" spans="2:11" s="82" customFormat="1" ht="15.75" x14ac:dyDescent="0.25">
      <c r="C9" s="83"/>
      <c r="D9" s="83"/>
    </row>
    <row r="10" spans="2:11" s="82" customFormat="1" ht="15.75" thickBot="1" x14ac:dyDescent="0.3"/>
    <row r="11" spans="2:11" ht="19.5" thickBot="1" x14ac:dyDescent="0.3">
      <c r="B11" s="190" t="s">
        <v>140</v>
      </c>
      <c r="C11" s="191"/>
      <c r="D11" s="191"/>
      <c r="E11" s="191"/>
      <c r="F11" s="192"/>
      <c r="G11" s="82"/>
    </row>
    <row r="12" spans="2:11" ht="32.25" thickBot="1" x14ac:dyDescent="0.3">
      <c r="B12" s="73"/>
      <c r="C12" s="74" t="s">
        <v>141</v>
      </c>
      <c r="D12" s="73" t="s">
        <v>199</v>
      </c>
      <c r="E12" s="73" t="s">
        <v>142</v>
      </c>
      <c r="F12" s="73" t="s">
        <v>200</v>
      </c>
      <c r="G12" s="82"/>
    </row>
    <row r="13" spans="2:11" ht="16.5" customHeight="1" thickBot="1" x14ac:dyDescent="0.3">
      <c r="B13" s="75">
        <v>1</v>
      </c>
      <c r="C13" s="183" t="s">
        <v>189</v>
      </c>
      <c r="D13" s="186">
        <f>'SR Noturno'!D135</f>
        <v>11586.229999999996</v>
      </c>
      <c r="E13" s="182">
        <f>'SR Noturno'!C12</f>
        <v>2</v>
      </c>
      <c r="F13" s="77">
        <f>E13*D13</f>
        <v>23172.459999999992</v>
      </c>
      <c r="G13" s="82"/>
    </row>
    <row r="14" spans="2:11" ht="16.5" thickBot="1" x14ac:dyDescent="0.3">
      <c r="B14" s="75">
        <v>4</v>
      </c>
      <c r="C14" s="183" t="s">
        <v>193</v>
      </c>
      <c r="D14" s="185">
        <f>'DRS Noturno'!D135</f>
        <v>11586.229999999996</v>
      </c>
      <c r="E14" s="182">
        <f>'DRS Noturno'!C12</f>
        <v>1</v>
      </c>
      <c r="F14" s="77">
        <f>E14*D14</f>
        <v>11586.229999999996</v>
      </c>
      <c r="G14" s="82"/>
    </row>
    <row r="15" spans="2:11" ht="16.5" thickBot="1" x14ac:dyDescent="0.3">
      <c r="B15" s="75">
        <v>3</v>
      </c>
      <c r="C15" s="183" t="s">
        <v>192</v>
      </c>
      <c r="D15" s="185">
        <f>'PPA - Noturno'!D135</f>
        <v>11586.230000000001</v>
      </c>
      <c r="E15" s="182">
        <f>'PPA - Noturno'!C12</f>
        <v>3</v>
      </c>
      <c r="F15" s="77">
        <f>E15*D15</f>
        <v>34758.69</v>
      </c>
      <c r="G15" s="82"/>
    </row>
    <row r="16" spans="2:11" ht="16.5" thickBot="1" x14ac:dyDescent="0.3">
      <c r="B16" s="75">
        <v>5</v>
      </c>
      <c r="C16" s="183" t="s">
        <v>194</v>
      </c>
      <c r="D16" s="185">
        <f>'NVI Noturno'!D135</f>
        <v>11586.229999999996</v>
      </c>
      <c r="E16" s="182">
        <f>'NVI Noturno'!C12</f>
        <v>1</v>
      </c>
      <c r="F16" s="77">
        <f>E16*D16</f>
        <v>11586.229999999996</v>
      </c>
      <c r="G16" s="82"/>
    </row>
    <row r="17" spans="2:7" ht="16.5" thickBot="1" x14ac:dyDescent="0.3">
      <c r="B17" s="75">
        <v>6</v>
      </c>
      <c r="C17" s="183" t="s">
        <v>195</v>
      </c>
      <c r="D17" s="185">
        <f>'SR Diurno'!D135</f>
        <v>10207.73</v>
      </c>
      <c r="E17" s="182">
        <f>'SR Diurno'!C12</f>
        <v>1</v>
      </c>
      <c r="F17" s="77">
        <f>E17*D17</f>
        <v>10207.73</v>
      </c>
      <c r="G17" s="82"/>
    </row>
    <row r="18" spans="2:7" ht="16.5" thickBot="1" x14ac:dyDescent="0.3">
      <c r="B18" s="75">
        <v>9</v>
      </c>
      <c r="C18" s="183" t="s">
        <v>198</v>
      </c>
      <c r="D18" s="185">
        <f>'DRS Diurno'!D135</f>
        <v>10207.73</v>
      </c>
      <c r="E18" s="182">
        <f>'DRS Diurno'!C12</f>
        <v>1</v>
      </c>
      <c r="F18" s="77">
        <f>E18*D18</f>
        <v>10207.73</v>
      </c>
      <c r="G18" s="82"/>
    </row>
    <row r="19" spans="2:7" ht="16.5" thickBot="1" x14ac:dyDescent="0.3">
      <c r="B19" s="75">
        <v>8</v>
      </c>
      <c r="C19" s="183" t="s">
        <v>197</v>
      </c>
      <c r="D19" s="185">
        <f>'PPA Diurno'!D135</f>
        <v>10207.73</v>
      </c>
      <c r="E19" s="182">
        <f>'PPA Diurno'!C12</f>
        <v>1</v>
      </c>
      <c r="F19" s="77">
        <f>E19*D19</f>
        <v>10207.73</v>
      </c>
      <c r="G19" s="82"/>
    </row>
    <row r="20" spans="2:7" ht="16.5" thickBot="1" x14ac:dyDescent="0.3">
      <c r="B20" s="75">
        <v>7</v>
      </c>
      <c r="C20" s="183" t="s">
        <v>196</v>
      </c>
      <c r="D20" s="185">
        <f>'TLS Diurno'!D135</f>
        <v>10207.73</v>
      </c>
      <c r="E20" s="182">
        <f>'TLS Diurno'!C12</f>
        <v>1</v>
      </c>
      <c r="F20" s="77">
        <f>E20*D20</f>
        <v>10207.73</v>
      </c>
      <c r="G20" s="82"/>
    </row>
    <row r="21" spans="2:7" ht="16.5" thickBot="1" x14ac:dyDescent="0.3">
      <c r="B21" s="75">
        <v>2</v>
      </c>
      <c r="C21" s="184" t="s">
        <v>204</v>
      </c>
      <c r="D21" s="185">
        <f>'CRA Diurno'!D135</f>
        <v>10207.729999999998</v>
      </c>
      <c r="E21" s="182">
        <f>'CRA Diurno'!C12</f>
        <v>1</v>
      </c>
      <c r="F21" s="77">
        <f t="shared" ref="F21" si="0">E21*D21</f>
        <v>10207.729999999998</v>
      </c>
      <c r="G21" s="82"/>
    </row>
    <row r="22" spans="2:7" ht="16.5" thickBot="1" x14ac:dyDescent="0.3">
      <c r="B22" s="193" t="s">
        <v>145</v>
      </c>
      <c r="C22" s="194"/>
      <c r="D22" s="195"/>
      <c r="E22" s="80">
        <f>SUM(E13:E21)</f>
        <v>12</v>
      </c>
      <c r="F22" s="81">
        <f>ROUND((+SUM(F13:F21)),2)</f>
        <v>132142.26</v>
      </c>
      <c r="G22" s="82"/>
    </row>
    <row r="23" spans="2:7" ht="15" x14ac:dyDescent="0.25">
      <c r="B23" s="82"/>
      <c r="C23" s="82"/>
      <c r="D23" s="82"/>
      <c r="E23" s="82"/>
      <c r="F23" s="82"/>
      <c r="G23" s="82"/>
    </row>
    <row r="24" spans="2:7" ht="15" x14ac:dyDescent="0.25">
      <c r="B24" s="82"/>
      <c r="C24" s="82"/>
      <c r="D24" s="82"/>
      <c r="E24" s="82"/>
      <c r="F24" s="82"/>
      <c r="G24" s="82"/>
    </row>
    <row r="25" spans="2:7" ht="15" hidden="1" x14ac:dyDescent="0.25">
      <c r="B25" s="82"/>
      <c r="C25" s="82"/>
      <c r="D25" s="82"/>
      <c r="E25" s="82"/>
      <c r="F25" s="82"/>
    </row>
    <row r="26" spans="2:7" ht="15" hidden="1" x14ac:dyDescent="0.25">
      <c r="B26" s="82"/>
      <c r="C26" s="82"/>
      <c r="D26" s="82"/>
      <c r="E26" s="82"/>
      <c r="F26" s="82"/>
    </row>
    <row r="27" spans="2:7" ht="15" hidden="1" x14ac:dyDescent="0.25">
      <c r="B27" s="82"/>
      <c r="C27" s="82"/>
      <c r="D27" s="82"/>
      <c r="E27" s="82"/>
      <c r="F27" s="82"/>
    </row>
    <row r="28" spans="2:7" ht="15" hidden="1" x14ac:dyDescent="0.25">
      <c r="B28" s="82"/>
      <c r="C28" s="82"/>
      <c r="D28" s="82"/>
      <c r="E28" s="82"/>
      <c r="F28" s="82"/>
    </row>
    <row r="29" spans="2:7" ht="15" hidden="1" x14ac:dyDescent="0.25"/>
    <row r="30" spans="2:7" ht="15" hidden="1" x14ac:dyDescent="0.25"/>
    <row r="31" spans="2:7" ht="15" hidden="1" x14ac:dyDescent="0.25"/>
    <row r="32" spans="2:7" ht="15" hidden="1" x14ac:dyDescent="0.25"/>
    <row r="33" ht="15" hidden="1" x14ac:dyDescent="0.25"/>
    <row r="34" ht="15" hidden="1" x14ac:dyDescent="0.25"/>
    <row r="35" ht="15" hidden="1" x14ac:dyDescent="0.25"/>
    <row r="36" ht="15" hidden="1" x14ac:dyDescent="0.25"/>
    <row r="37" ht="15" hidden="1" x14ac:dyDescent="0.25"/>
    <row r="38" ht="15" hidden="1" x14ac:dyDescent="0.25"/>
    <row r="39" ht="15" hidden="1" x14ac:dyDescent="0.25"/>
    <row r="40" ht="15" hidden="1" x14ac:dyDescent="0.25"/>
    <row r="41" ht="15" hidden="1" x14ac:dyDescent="0.25"/>
    <row r="42" ht="15" hidden="1" x14ac:dyDescent="0.25"/>
    <row r="43" ht="15" hidden="1" x14ac:dyDescent="0.25"/>
    <row r="44" ht="15" hidden="1" x14ac:dyDescent="0.25"/>
    <row r="45" ht="15" hidden="1" x14ac:dyDescent="0.25"/>
    <row r="46" ht="15" hidden="1" x14ac:dyDescent="0.25"/>
    <row r="47" ht="15" hidden="1" x14ac:dyDescent="0.25"/>
    <row r="48" ht="15" hidden="1" x14ac:dyDescent="0.25"/>
    <row r="49" spans="2:2" ht="15" hidden="1" x14ac:dyDescent="0.25"/>
    <row r="50" spans="2:2" ht="15" hidden="1" x14ac:dyDescent="0.25"/>
    <row r="51" spans="2:2" ht="15" hidden="1" x14ac:dyDescent="0.25"/>
    <row r="52" spans="2:2" ht="15" hidden="1" x14ac:dyDescent="0.25"/>
    <row r="53" spans="2:2" ht="15" hidden="1" x14ac:dyDescent="0.25"/>
    <row r="54" spans="2:2" ht="15" hidden="1" x14ac:dyDescent="0.25"/>
    <row r="55" spans="2:2" ht="15" hidden="1" x14ac:dyDescent="0.25"/>
    <row r="56" spans="2:2" ht="15" hidden="1" x14ac:dyDescent="0.25"/>
    <row r="57" spans="2:2" ht="15" hidden="1" x14ac:dyDescent="0.25"/>
    <row r="58" spans="2:2" ht="15" hidden="1" x14ac:dyDescent="0.25"/>
    <row r="59" spans="2:2" ht="15" hidden="1" x14ac:dyDescent="0.25"/>
    <row r="60" spans="2:2" ht="15" hidden="1" x14ac:dyDescent="0.25"/>
    <row r="61" spans="2:2" ht="15" hidden="1" x14ac:dyDescent="0.25">
      <c r="B61" t="s">
        <v>146</v>
      </c>
    </row>
    <row r="62" spans="2:2" ht="15" hidden="1" x14ac:dyDescent="0.25"/>
    <row r="63" spans="2:2" ht="15" hidden="1" x14ac:dyDescent="0.25"/>
    <row r="64" spans="2:2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</sheetData>
  <sheetProtection algorithmName="SHA-512" hashValue="TbF7fX8h/OjRUDJGQgylmQUsFs+3bUEPHXhE3oBypbInvPVFxFm2DHQV0w3DEzptlARig/cdSxMpO0KYMTCJcA==" saltValue="tl0xXgDTgv6OmI6GQhYn8Q==" spinCount="100000" sheet="1" objects="1" scenarios="1"/>
  <customSheetViews>
    <customSheetView guid="{5814B4A8-EA6A-43F4-B910-A8CE90082F1D}" scale="70" showPageBreaks="1" hiddenRows="1" hiddenColumns="1">
      <selection activeCell="E17" sqref="E17"/>
      <pageMargins left="0.51181102362204722" right="0.51181102362204722" top="0" bottom="0.78740157480314965" header="0" footer="0.31496062992125984"/>
      <printOptions horizontalCentered="1"/>
      <pageSetup paperSize="9" scale="65" orientation="portrait" horizontalDpi="0" verticalDpi="0" r:id="rId1"/>
    </customSheetView>
  </customSheetViews>
  <mergeCells count="7">
    <mergeCell ref="B11:F11"/>
    <mergeCell ref="B22:D22"/>
    <mergeCell ref="B2:G2"/>
    <mergeCell ref="B3:G3"/>
    <mergeCell ref="B7:E7"/>
    <mergeCell ref="B8:F8"/>
    <mergeCell ref="D5:D6"/>
  </mergeCells>
  <printOptions horizontalCentered="1"/>
  <pageMargins left="0.51181102362204722" right="0.51181102362204722" top="0" bottom="0.78740157480314965" header="0" footer="0.31496062992125984"/>
  <pageSetup paperSize="9" scale="65" orientation="portrait" horizontalDpi="0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workbookViewId="0">
      <selection activeCell="A25" sqref="A25:D25"/>
    </sheetView>
  </sheetViews>
  <sheetFormatPr defaultColWidth="0" defaultRowHeight="15" zeroHeight="1" x14ac:dyDescent="0.25"/>
  <cols>
    <col min="1" max="1" width="26.5703125" customWidth="1"/>
    <col min="2" max="2" width="54.7109375" customWidth="1"/>
    <col min="3" max="3" width="22.85546875" customWidth="1"/>
    <col min="4" max="4" width="29.85546875" customWidth="1"/>
    <col min="5" max="12" width="9.140625" style="1" customWidth="1"/>
    <col min="13" max="16384" width="9.140625" hidden="1"/>
  </cols>
  <sheetData>
    <row r="1" spans="1:4" x14ac:dyDescent="0.25">
      <c r="A1" s="181"/>
      <c r="B1" s="181"/>
      <c r="C1" s="181"/>
      <c r="D1" s="181"/>
    </row>
    <row r="2" spans="1:4" x14ac:dyDescent="0.25">
      <c r="A2" s="349" t="s">
        <v>0</v>
      </c>
      <c r="B2" s="349"/>
      <c r="C2" s="349"/>
      <c r="D2" s="349"/>
    </row>
    <row r="3" spans="1:4" x14ac:dyDescent="0.25">
      <c r="A3" s="350" t="s">
        <v>1</v>
      </c>
      <c r="B3" s="350"/>
      <c r="C3" s="351" t="s">
        <v>120</v>
      </c>
      <c r="D3" s="352"/>
    </row>
    <row r="4" spans="1:4" x14ac:dyDescent="0.25">
      <c r="A4" s="350" t="s">
        <v>2</v>
      </c>
      <c r="B4" s="350"/>
      <c r="C4" s="351" t="s">
        <v>121</v>
      </c>
      <c r="D4" s="352"/>
    </row>
    <row r="5" spans="1:4" x14ac:dyDescent="0.25">
      <c r="A5" s="341"/>
      <c r="B5" s="341"/>
      <c r="C5" s="341"/>
      <c r="D5" s="341"/>
    </row>
    <row r="6" spans="1:4" x14ac:dyDescent="0.25">
      <c r="A6" s="341" t="s">
        <v>3</v>
      </c>
      <c r="B6" s="341"/>
      <c r="C6" s="341"/>
      <c r="D6" s="341"/>
    </row>
    <row r="7" spans="1:4" x14ac:dyDescent="0.25">
      <c r="A7" s="2" t="s">
        <v>4</v>
      </c>
      <c r="B7" s="3" t="s">
        <v>5</v>
      </c>
      <c r="C7" s="274"/>
      <c r="D7" s="275"/>
    </row>
    <row r="8" spans="1:4" x14ac:dyDescent="0.25">
      <c r="A8" s="2" t="s">
        <v>6</v>
      </c>
      <c r="B8" s="3" t="s">
        <v>7</v>
      </c>
      <c r="C8" s="335" t="s">
        <v>131</v>
      </c>
      <c r="D8" s="335"/>
    </row>
    <row r="9" spans="1:4" ht="25.5" x14ac:dyDescent="0.25">
      <c r="A9" s="4" t="s">
        <v>8</v>
      </c>
      <c r="B9" s="5" t="s">
        <v>9</v>
      </c>
      <c r="C9" s="276" t="s">
        <v>109</v>
      </c>
      <c r="D9" s="277"/>
    </row>
    <row r="10" spans="1:4" x14ac:dyDescent="0.25">
      <c r="A10" s="2" t="s">
        <v>10</v>
      </c>
      <c r="B10" s="3" t="s">
        <v>11</v>
      </c>
      <c r="C10" s="333" t="s">
        <v>12</v>
      </c>
      <c r="D10" s="334"/>
    </row>
    <row r="11" spans="1:4" x14ac:dyDescent="0.25">
      <c r="A11" s="2" t="s">
        <v>13</v>
      </c>
      <c r="B11" s="3" t="s">
        <v>14</v>
      </c>
      <c r="C11" s="333" t="s">
        <v>113</v>
      </c>
      <c r="D11" s="334"/>
    </row>
    <row r="12" spans="1:4" x14ac:dyDescent="0.25">
      <c r="A12" s="2" t="s">
        <v>15</v>
      </c>
      <c r="B12" s="3" t="s">
        <v>16</v>
      </c>
      <c r="C12" s="342">
        <v>1</v>
      </c>
      <c r="D12" s="343"/>
    </row>
    <row r="13" spans="1:4" x14ac:dyDescent="0.25">
      <c r="A13" s="2" t="s">
        <v>17</v>
      </c>
      <c r="B13" s="3" t="s">
        <v>18</v>
      </c>
      <c r="C13" s="333">
        <v>20</v>
      </c>
      <c r="D13" s="334"/>
    </row>
    <row r="14" spans="1:4" x14ac:dyDescent="0.25">
      <c r="A14" s="344"/>
      <c r="B14" s="345"/>
      <c r="C14" s="345"/>
      <c r="D14" s="345"/>
    </row>
    <row r="15" spans="1:4" x14ac:dyDescent="0.25">
      <c r="A15" s="346" t="s">
        <v>19</v>
      </c>
      <c r="B15" s="347"/>
      <c r="C15" s="347"/>
      <c r="D15" s="348"/>
    </row>
    <row r="16" spans="1:4" x14ac:dyDescent="0.25">
      <c r="A16" s="335" t="s">
        <v>20</v>
      </c>
      <c r="B16" s="335"/>
      <c r="C16" s="335"/>
      <c r="D16" s="335"/>
    </row>
    <row r="17" spans="1:4" x14ac:dyDescent="0.25">
      <c r="A17" s="2">
        <v>1</v>
      </c>
      <c r="B17" s="3" t="s">
        <v>21</v>
      </c>
      <c r="C17" s="333" t="s">
        <v>22</v>
      </c>
      <c r="D17" s="334" t="s">
        <v>22</v>
      </c>
    </row>
    <row r="18" spans="1:4" x14ac:dyDescent="0.25">
      <c r="A18" s="2"/>
      <c r="B18" s="6" t="s">
        <v>114</v>
      </c>
      <c r="C18" s="333">
        <v>2</v>
      </c>
      <c r="D18" s="334">
        <v>1</v>
      </c>
    </row>
    <row r="19" spans="1:4" x14ac:dyDescent="0.25">
      <c r="A19" s="2">
        <v>2</v>
      </c>
      <c r="B19" s="7" t="s">
        <v>23</v>
      </c>
      <c r="C19" s="265" t="s">
        <v>110</v>
      </c>
      <c r="D19" s="266"/>
    </row>
    <row r="20" spans="1:4" x14ac:dyDescent="0.25">
      <c r="A20" s="335" t="s">
        <v>24</v>
      </c>
      <c r="B20" s="335"/>
      <c r="C20" s="335"/>
      <c r="D20" s="335"/>
    </row>
    <row r="21" spans="1:4" x14ac:dyDescent="0.25">
      <c r="A21" s="2">
        <v>3</v>
      </c>
      <c r="B21" s="291" t="s">
        <v>25</v>
      </c>
      <c r="C21" s="292"/>
      <c r="D21" s="8">
        <v>1332.15</v>
      </c>
    </row>
    <row r="22" spans="1:4" x14ac:dyDescent="0.25">
      <c r="A22" s="2"/>
      <c r="B22" s="291" t="s">
        <v>26</v>
      </c>
      <c r="C22" s="292"/>
      <c r="D22" s="9" t="s">
        <v>111</v>
      </c>
    </row>
    <row r="23" spans="1:4" x14ac:dyDescent="0.25">
      <c r="A23" s="2">
        <v>5</v>
      </c>
      <c r="B23" s="291" t="s">
        <v>27</v>
      </c>
      <c r="C23" s="292"/>
      <c r="D23" s="10">
        <v>43525</v>
      </c>
    </row>
    <row r="24" spans="1:4" x14ac:dyDescent="0.25">
      <c r="A24" s="333"/>
      <c r="B24" s="336"/>
      <c r="C24" s="336"/>
      <c r="D24" s="334"/>
    </row>
    <row r="25" spans="1:4" x14ac:dyDescent="0.25">
      <c r="A25" s="337" t="s">
        <v>28</v>
      </c>
      <c r="B25" s="337"/>
      <c r="C25" s="337"/>
      <c r="D25" s="337"/>
    </row>
    <row r="26" spans="1:4" x14ac:dyDescent="0.25">
      <c r="A26" s="338"/>
      <c r="B26" s="339"/>
      <c r="C26" s="339"/>
      <c r="D26" s="340"/>
    </row>
    <row r="27" spans="1:4" x14ac:dyDescent="0.25">
      <c r="A27" s="11">
        <v>1</v>
      </c>
      <c r="B27" s="296" t="s">
        <v>29</v>
      </c>
      <c r="C27" s="298"/>
      <c r="D27" s="11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4">
        <f>(7/12)*(20%)</f>
        <v>0.11666666666666668</v>
      </c>
      <c r="D30" s="145">
        <v>0</v>
      </c>
    </row>
    <row r="31" spans="1:4" ht="25.5" x14ac:dyDescent="0.25">
      <c r="A31" s="91" t="s">
        <v>10</v>
      </c>
      <c r="B31" s="99" t="s">
        <v>127</v>
      </c>
      <c r="C31" s="155">
        <f>1/12*1.2</f>
        <v>9.9999999999999992E-2</v>
      </c>
      <c r="D31" s="145">
        <v>0</v>
      </c>
    </row>
    <row r="32" spans="1:4" x14ac:dyDescent="0.25">
      <c r="A32" s="91" t="s">
        <v>13</v>
      </c>
      <c r="B32" s="152" t="s">
        <v>185</v>
      </c>
      <c r="C32" s="151">
        <f>D32/D21</f>
        <v>2.1353482260183968E-2</v>
      </c>
      <c r="D32" s="146">
        <f>((D29+D28+D30+D31)/15.22)*3/12</f>
        <v>28.446041392904075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96" t="s">
        <v>35</v>
      </c>
      <c r="B34" s="297"/>
      <c r="C34" s="298"/>
      <c r="D34" s="14">
        <f>SUM(D28:D33)</f>
        <v>1760.2410413929042</v>
      </c>
    </row>
    <row r="35" spans="1:4" x14ac:dyDescent="0.25">
      <c r="A35" s="332"/>
      <c r="B35" s="332"/>
      <c r="C35" s="332"/>
      <c r="D35" s="332"/>
    </row>
    <row r="36" spans="1:4" x14ac:dyDescent="0.25">
      <c r="A36" s="314" t="s">
        <v>36</v>
      </c>
      <c r="B36" s="315"/>
      <c r="C36" s="315"/>
      <c r="D36" s="316"/>
    </row>
    <row r="37" spans="1:4" x14ac:dyDescent="0.25">
      <c r="A37" s="326"/>
      <c r="B37" s="327"/>
      <c r="C37" s="327"/>
      <c r="D37" s="328"/>
    </row>
    <row r="38" spans="1:4" x14ac:dyDescent="0.25">
      <c r="A38" s="15" t="s">
        <v>37</v>
      </c>
      <c r="B38" s="16" t="s">
        <v>38</v>
      </c>
      <c r="C38" s="15" t="s">
        <v>39</v>
      </c>
      <c r="D38" s="15" t="s">
        <v>30</v>
      </c>
    </row>
    <row r="39" spans="1:4" x14ac:dyDescent="0.25">
      <c r="A39" s="17" t="s">
        <v>31</v>
      </c>
      <c r="B39" s="18" t="s">
        <v>40</v>
      </c>
      <c r="C39" s="19">
        <v>8.3299999999999999E-2</v>
      </c>
      <c r="D39" s="20">
        <f>D34/12</f>
        <v>146.68675344940868</v>
      </c>
    </row>
    <row r="40" spans="1:4" x14ac:dyDescent="0.25">
      <c r="A40" s="17" t="s">
        <v>6</v>
      </c>
      <c r="B40" s="18" t="s">
        <v>41</v>
      </c>
      <c r="C40" s="19">
        <f>D40/D34</f>
        <v>2.7777777777777776E-2</v>
      </c>
      <c r="D40" s="20">
        <f>D34/12/3</f>
        <v>48.895584483136226</v>
      </c>
    </row>
    <row r="41" spans="1:4" x14ac:dyDescent="0.25">
      <c r="A41" s="307" t="s">
        <v>42</v>
      </c>
      <c r="B41" s="308"/>
      <c r="C41" s="21">
        <f>SUM(C39:C40)</f>
        <v>0.11107777777777778</v>
      </c>
      <c r="D41" s="22">
        <f>SUM(D39:D40)</f>
        <v>195.5823379325449</v>
      </c>
    </row>
    <row r="42" spans="1:4" x14ac:dyDescent="0.25">
      <c r="A42" s="326"/>
      <c r="B42" s="327"/>
      <c r="C42" s="327"/>
      <c r="D42" s="328"/>
    </row>
    <row r="43" spans="1:4" x14ac:dyDescent="0.25">
      <c r="A43" s="23" t="s">
        <v>43</v>
      </c>
      <c r="B43" s="24" t="s">
        <v>44</v>
      </c>
      <c r="C43" s="23" t="s">
        <v>39</v>
      </c>
      <c r="D43" s="22" t="s">
        <v>30</v>
      </c>
    </row>
    <row r="44" spans="1:4" x14ac:dyDescent="0.25">
      <c r="A44" s="25" t="s">
        <v>31</v>
      </c>
      <c r="B44" s="26" t="s">
        <v>45</v>
      </c>
      <c r="C44" s="27">
        <v>0.2</v>
      </c>
      <c r="D44" s="20">
        <f>C44*($D$34+$D$41)</f>
        <v>391.16467586508986</v>
      </c>
    </row>
    <row r="45" spans="1:4" x14ac:dyDescent="0.25">
      <c r="A45" s="25" t="s">
        <v>6</v>
      </c>
      <c r="B45" s="26" t="s">
        <v>46</v>
      </c>
      <c r="C45" s="28">
        <v>2.5000000000000001E-2</v>
      </c>
      <c r="D45" s="20">
        <f t="shared" ref="D45:D51" si="0">C45*($D$34+$D$41)</f>
        <v>48.895584483136233</v>
      </c>
    </row>
    <row r="46" spans="1:4" x14ac:dyDescent="0.25">
      <c r="A46" s="25" t="s">
        <v>8</v>
      </c>
      <c r="B46" s="26" t="s">
        <v>47</v>
      </c>
      <c r="C46" s="29">
        <v>0.03</v>
      </c>
      <c r="D46" s="20">
        <f t="shared" si="0"/>
        <v>58.674701379763476</v>
      </c>
    </row>
    <row r="47" spans="1:4" x14ac:dyDescent="0.25">
      <c r="A47" s="25" t="s">
        <v>10</v>
      </c>
      <c r="B47" s="26" t="s">
        <v>48</v>
      </c>
      <c r="C47" s="28">
        <v>1.4999999999999999E-2</v>
      </c>
      <c r="D47" s="20">
        <f t="shared" si="0"/>
        <v>29.337350689881738</v>
      </c>
    </row>
    <row r="48" spans="1:4" x14ac:dyDescent="0.25">
      <c r="A48" s="25" t="s">
        <v>13</v>
      </c>
      <c r="B48" s="26" t="s">
        <v>49</v>
      </c>
      <c r="C48" s="28">
        <v>0.01</v>
      </c>
      <c r="D48" s="20">
        <f t="shared" si="0"/>
        <v>19.558233793254491</v>
      </c>
    </row>
    <row r="49" spans="1:5" x14ac:dyDescent="0.25">
      <c r="A49" s="25" t="s">
        <v>15</v>
      </c>
      <c r="B49" s="26" t="s">
        <v>50</v>
      </c>
      <c r="C49" s="28">
        <v>6.0000000000000001E-3</v>
      </c>
      <c r="D49" s="20">
        <f t="shared" si="0"/>
        <v>11.734940275952695</v>
      </c>
    </row>
    <row r="50" spans="1:5" x14ac:dyDescent="0.25">
      <c r="A50" s="25" t="s">
        <v>17</v>
      </c>
      <c r="B50" s="26" t="s">
        <v>51</v>
      </c>
      <c r="C50" s="28">
        <v>2E-3</v>
      </c>
      <c r="D50" s="20">
        <f t="shared" si="0"/>
        <v>3.9116467586508983</v>
      </c>
    </row>
    <row r="51" spans="1:5" x14ac:dyDescent="0.25">
      <c r="A51" s="25" t="s">
        <v>52</v>
      </c>
      <c r="B51" s="26" t="s">
        <v>53</v>
      </c>
      <c r="C51" s="27">
        <v>0.08</v>
      </c>
      <c r="D51" s="20">
        <f t="shared" si="0"/>
        <v>156.46587034603593</v>
      </c>
    </row>
    <row r="52" spans="1:5" x14ac:dyDescent="0.25">
      <c r="A52" s="307" t="s">
        <v>42</v>
      </c>
      <c r="B52" s="308"/>
      <c r="C52" s="30">
        <f>SUM(C44:C51)</f>
        <v>0.36800000000000005</v>
      </c>
      <c r="D52" s="23">
        <f>SUM(D44:D51)</f>
        <v>719.74300359176539</v>
      </c>
    </row>
    <row r="53" spans="1:5" x14ac:dyDescent="0.25">
      <c r="A53" s="326"/>
      <c r="B53" s="327"/>
      <c r="C53" s="327"/>
      <c r="D53" s="328"/>
    </row>
    <row r="54" spans="1:5" x14ac:dyDescent="0.25">
      <c r="A54" s="23" t="s">
        <v>54</v>
      </c>
      <c r="B54" s="24" t="s">
        <v>55</v>
      </c>
      <c r="C54" s="23" t="s">
        <v>56</v>
      </c>
      <c r="D54" s="23" t="s">
        <v>30</v>
      </c>
    </row>
    <row r="55" spans="1:5" x14ac:dyDescent="0.25">
      <c r="A55" s="59" t="s">
        <v>31</v>
      </c>
      <c r="B55" s="26" t="s">
        <v>115</v>
      </c>
      <c r="C55" s="31">
        <v>3.6</v>
      </c>
      <c r="D55" s="32">
        <f>(15.22*2*C55)-(D28*50%*6%)</f>
        <v>69.619500000000002</v>
      </c>
    </row>
    <row r="56" spans="1:5" x14ac:dyDescent="0.25">
      <c r="A56" s="59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40"/>
    </row>
    <row r="57" spans="1:5" x14ac:dyDescent="0.25">
      <c r="A57" s="59" t="s">
        <v>8</v>
      </c>
      <c r="B57" s="26" t="s">
        <v>57</v>
      </c>
      <c r="C57" s="33">
        <v>47</v>
      </c>
      <c r="D57" s="34">
        <f t="shared" ref="D57:D61" si="1">C57</f>
        <v>47</v>
      </c>
    </row>
    <row r="58" spans="1:5" x14ac:dyDescent="0.25">
      <c r="A58" s="59" t="s">
        <v>10</v>
      </c>
      <c r="B58" s="26" t="s">
        <v>116</v>
      </c>
      <c r="C58" s="33"/>
      <c r="D58" s="34">
        <f t="shared" si="1"/>
        <v>0</v>
      </c>
    </row>
    <row r="59" spans="1:5" x14ac:dyDescent="0.25">
      <c r="A59" s="59" t="s">
        <v>13</v>
      </c>
      <c r="B59" s="26" t="s">
        <v>117</v>
      </c>
      <c r="C59" s="33"/>
      <c r="D59" s="34">
        <f t="shared" si="1"/>
        <v>0</v>
      </c>
    </row>
    <row r="60" spans="1:5" x14ac:dyDescent="0.25">
      <c r="A60" s="59" t="s">
        <v>15</v>
      </c>
      <c r="B60" s="68" t="s">
        <v>118</v>
      </c>
      <c r="C60" s="33"/>
      <c r="D60" s="34">
        <f t="shared" si="1"/>
        <v>0</v>
      </c>
    </row>
    <row r="61" spans="1:5" x14ac:dyDescent="0.25">
      <c r="A61" s="59" t="s">
        <v>17</v>
      </c>
      <c r="B61" s="68" t="s">
        <v>119</v>
      </c>
      <c r="C61" s="33"/>
      <c r="D61" s="34">
        <f t="shared" si="1"/>
        <v>0</v>
      </c>
    </row>
    <row r="62" spans="1:5" ht="38.25" customHeight="1" x14ac:dyDescent="0.25">
      <c r="A62" s="307" t="s">
        <v>58</v>
      </c>
      <c r="B62" s="322"/>
      <c r="C62" s="308"/>
      <c r="D62" s="22">
        <f>SUM(D55:D61)</f>
        <v>470.86099999999999</v>
      </c>
    </row>
    <row r="63" spans="1:5" x14ac:dyDescent="0.25">
      <c r="A63" s="326"/>
      <c r="B63" s="327"/>
      <c r="C63" s="327"/>
      <c r="D63" s="328"/>
    </row>
    <row r="64" spans="1:5" x14ac:dyDescent="0.25">
      <c r="A64" s="330" t="s">
        <v>59</v>
      </c>
      <c r="B64" s="331"/>
      <c r="C64" s="23" t="s">
        <v>39</v>
      </c>
      <c r="D64" s="23" t="s">
        <v>30</v>
      </c>
    </row>
    <row r="65" spans="1:5" x14ac:dyDescent="0.25">
      <c r="A65" s="25" t="s">
        <v>60</v>
      </c>
      <c r="B65" s="26" t="s">
        <v>38</v>
      </c>
      <c r="C65" s="36">
        <f>C41</f>
        <v>0.11107777777777778</v>
      </c>
      <c r="D65" s="20">
        <f>D41</f>
        <v>195.5823379325449</v>
      </c>
    </row>
    <row r="66" spans="1:5" x14ac:dyDescent="0.25">
      <c r="A66" s="25" t="s">
        <v>43</v>
      </c>
      <c r="B66" s="26" t="s">
        <v>44</v>
      </c>
      <c r="C66" s="36">
        <f>C52</f>
        <v>0.36800000000000005</v>
      </c>
      <c r="D66" s="20">
        <f>D52</f>
        <v>719.74300359176539</v>
      </c>
    </row>
    <row r="67" spans="1:5" x14ac:dyDescent="0.25">
      <c r="A67" s="25" t="s">
        <v>61</v>
      </c>
      <c r="B67" s="26" t="s">
        <v>55</v>
      </c>
      <c r="C67" s="37"/>
      <c r="D67" s="20">
        <f>D62</f>
        <v>470.86099999999999</v>
      </c>
    </row>
    <row r="68" spans="1:5" x14ac:dyDescent="0.25">
      <c r="A68" s="307" t="s">
        <v>42</v>
      </c>
      <c r="B68" s="322"/>
      <c r="C68" s="308"/>
      <c r="D68" s="22">
        <f>SUM(D65:D67)</f>
        <v>1386.1863415243101</v>
      </c>
    </row>
    <row r="69" spans="1:5" x14ac:dyDescent="0.25">
      <c r="A69" s="326"/>
      <c r="B69" s="327"/>
      <c r="C69" s="327"/>
      <c r="D69" s="328"/>
    </row>
    <row r="70" spans="1:5" x14ac:dyDescent="0.25">
      <c r="A70" s="314" t="s">
        <v>125</v>
      </c>
      <c r="B70" s="315"/>
      <c r="C70" s="315"/>
      <c r="D70" s="316"/>
    </row>
    <row r="71" spans="1:5" x14ac:dyDescent="0.25">
      <c r="A71" s="326"/>
      <c r="B71" s="327"/>
      <c r="C71" s="327"/>
      <c r="D71" s="328"/>
    </row>
    <row r="72" spans="1:5" x14ac:dyDescent="0.25">
      <c r="A72" s="38">
        <v>3</v>
      </c>
      <c r="B72" s="24" t="s">
        <v>62</v>
      </c>
      <c r="C72" s="23" t="s">
        <v>39</v>
      </c>
      <c r="D72" s="23" t="s">
        <v>30</v>
      </c>
    </row>
    <row r="73" spans="1:5" x14ac:dyDescent="0.25">
      <c r="A73" s="25" t="s">
        <v>31</v>
      </c>
      <c r="B73" s="26" t="s">
        <v>124</v>
      </c>
      <c r="C73" s="39">
        <f>74.1%*(1/12)</f>
        <v>6.1749999999999999E-2</v>
      </c>
      <c r="D73" s="20">
        <f>C73*D34</f>
        <v>108.69488430601183</v>
      </c>
      <c r="E73" s="40" t="s">
        <v>63</v>
      </c>
    </row>
    <row r="74" spans="1:5" x14ac:dyDescent="0.25">
      <c r="A74" s="25" t="s">
        <v>6</v>
      </c>
      <c r="B74" s="26" t="s">
        <v>64</v>
      </c>
      <c r="C74" s="41">
        <f>C51*C73</f>
        <v>4.9399999999999999E-3</v>
      </c>
      <c r="D74" s="20">
        <f>C74*D34</f>
        <v>8.6955907444809473</v>
      </c>
    </row>
    <row r="75" spans="1:5" ht="25.5" x14ac:dyDescent="0.25">
      <c r="A75" s="25" t="s">
        <v>8</v>
      </c>
      <c r="B75" s="26" t="s">
        <v>65</v>
      </c>
      <c r="C75" s="42">
        <f>C51*50%*C73</f>
        <v>2.47E-3</v>
      </c>
      <c r="D75" s="20">
        <f>C75*(D34+D41)</f>
        <v>4.8308837469338597</v>
      </c>
    </row>
    <row r="76" spans="1:5" x14ac:dyDescent="0.25">
      <c r="A76" s="25" t="s">
        <v>10</v>
      </c>
      <c r="B76" s="26" t="s">
        <v>123</v>
      </c>
      <c r="C76" s="43">
        <f>8.23%*(7/360)</f>
        <v>1.6002777777777777E-3</v>
      </c>
      <c r="D76" s="20">
        <f>C76*D34</f>
        <v>2.8168746220734779</v>
      </c>
      <c r="E76" s="40" t="s">
        <v>66</v>
      </c>
    </row>
    <row r="77" spans="1:5" ht="25.5" x14ac:dyDescent="0.25">
      <c r="A77" s="25" t="s">
        <v>13</v>
      </c>
      <c r="B77" s="26" t="s">
        <v>67</v>
      </c>
      <c r="C77" s="42">
        <f>C52*C76</f>
        <v>5.8890222222222227E-4</v>
      </c>
      <c r="D77" s="20">
        <f>C77*D34</f>
        <v>1.0366098609230401</v>
      </c>
    </row>
    <row r="78" spans="1:5" ht="25.5" x14ac:dyDescent="0.25">
      <c r="A78" s="25" t="s">
        <v>15</v>
      </c>
      <c r="B78" s="26" t="s">
        <v>68</v>
      </c>
      <c r="C78" s="42">
        <f>C76*50%*C51</f>
        <v>6.401111111111111E-5</v>
      </c>
      <c r="D78" s="20">
        <f>C78*(D34+D41)</f>
        <v>0.12519442764771013</v>
      </c>
    </row>
    <row r="79" spans="1:5" x14ac:dyDescent="0.25">
      <c r="A79" s="307" t="s">
        <v>69</v>
      </c>
      <c r="B79" s="329"/>
      <c r="C79" s="21">
        <f>SUM(C73:C78)</f>
        <v>7.1413191111111121E-2</v>
      </c>
      <c r="D79" s="22">
        <f>SUM(D73:D78)</f>
        <v>126.20003770807088</v>
      </c>
    </row>
    <row r="80" spans="1:5" x14ac:dyDescent="0.25">
      <c r="A80" s="305"/>
      <c r="B80" s="309"/>
      <c r="C80" s="309"/>
      <c r="D80" s="306"/>
    </row>
    <row r="81" spans="1:4" x14ac:dyDescent="0.25">
      <c r="A81" s="314" t="s">
        <v>70</v>
      </c>
      <c r="B81" s="315"/>
      <c r="C81" s="315"/>
      <c r="D81" s="316"/>
    </row>
    <row r="82" spans="1:4" x14ac:dyDescent="0.25">
      <c r="A82" s="317"/>
      <c r="B82" s="318"/>
      <c r="C82" s="318"/>
      <c r="D82" s="319"/>
    </row>
    <row r="83" spans="1:4" x14ac:dyDescent="0.25">
      <c r="A83" s="23" t="s">
        <v>71</v>
      </c>
      <c r="B83" s="24" t="s">
        <v>72</v>
      </c>
      <c r="C83" s="21" t="s">
        <v>39</v>
      </c>
      <c r="D83" s="23" t="s">
        <v>30</v>
      </c>
    </row>
    <row r="84" spans="1:4" x14ac:dyDescent="0.25">
      <c r="A84" s="59" t="s">
        <v>31</v>
      </c>
      <c r="B84" s="26" t="s">
        <v>138</v>
      </c>
      <c r="C84" s="44">
        <v>9.0749999999999997E-2</v>
      </c>
      <c r="D84" s="45">
        <f>C84*(D34+D68+D79)</f>
        <v>296.9909384217446</v>
      </c>
    </row>
    <row r="85" spans="1:4" x14ac:dyDescent="0.25">
      <c r="A85" s="59" t="s">
        <v>6</v>
      </c>
      <c r="B85" s="26" t="s">
        <v>128</v>
      </c>
      <c r="C85" s="43">
        <f>(1+1+0.1522+0.0309+0.0123+0.02+0.004+0.0002)/100</f>
        <v>2.2196000000000004E-2</v>
      </c>
      <c r="D85" s="45">
        <f>C85*(D34+D68+D79)</f>
        <v>72.639238228198849</v>
      </c>
    </row>
    <row r="86" spans="1:4" x14ac:dyDescent="0.25">
      <c r="A86" s="59" t="s">
        <v>8</v>
      </c>
      <c r="B86" s="26" t="s">
        <v>74</v>
      </c>
      <c r="C86" s="153">
        <v>3.21E-4</v>
      </c>
      <c r="D86" s="45">
        <f>C86*(D34+D68+D79)</f>
        <v>1.0505134020207165</v>
      </c>
    </row>
    <row r="87" spans="1:4" x14ac:dyDescent="0.25">
      <c r="A87" s="59" t="s">
        <v>10</v>
      </c>
      <c r="B87" s="26" t="s">
        <v>75</v>
      </c>
      <c r="C87" s="153">
        <v>9.2199999999999997E-4</v>
      </c>
      <c r="D87" s="45">
        <f>C87*(D34+D68+D79)</f>
        <v>3.0173624818165128</v>
      </c>
    </row>
    <row r="88" spans="1:4" x14ac:dyDescent="0.25">
      <c r="A88" s="59" t="s">
        <v>13</v>
      </c>
      <c r="B88" s="26" t="s">
        <v>76</v>
      </c>
      <c r="C88" s="153">
        <v>2.8E-5</v>
      </c>
      <c r="D88" s="46">
        <f>C88*(D39+D52+D56+D57+D79)</f>
        <v>3.902839625297886E-2</v>
      </c>
    </row>
    <row r="89" spans="1:4" ht="17.25" customHeight="1" x14ac:dyDescent="0.25">
      <c r="A89" s="59" t="s">
        <v>15</v>
      </c>
      <c r="B89" s="35" t="s">
        <v>34</v>
      </c>
      <c r="C89" s="43"/>
      <c r="D89" s="45">
        <f>C89*(D34+D68+D79)</f>
        <v>0</v>
      </c>
    </row>
    <row r="90" spans="1:4" ht="21" customHeight="1" x14ac:dyDescent="0.25">
      <c r="A90" s="307" t="s">
        <v>42</v>
      </c>
      <c r="B90" s="308"/>
      <c r="C90" s="21">
        <f>SUM(C84:C89)</f>
        <v>0.11421700000000001</v>
      </c>
      <c r="D90" s="22">
        <f>SUM(D84:D89)</f>
        <v>373.7370809300337</v>
      </c>
    </row>
    <row r="91" spans="1:4" x14ac:dyDescent="0.25">
      <c r="A91" s="305"/>
      <c r="B91" s="309"/>
      <c r="C91" s="309"/>
      <c r="D91" s="306"/>
    </row>
    <row r="92" spans="1:4" x14ac:dyDescent="0.25">
      <c r="A92" s="47" t="s">
        <v>77</v>
      </c>
      <c r="B92" s="47" t="s">
        <v>78</v>
      </c>
      <c r="C92" s="21" t="s">
        <v>39</v>
      </c>
      <c r="D92" s="23" t="s">
        <v>30</v>
      </c>
    </row>
    <row r="93" spans="1:4" x14ac:dyDescent="0.25">
      <c r="A93" s="48" t="s">
        <v>31</v>
      </c>
      <c r="B93" s="49" t="s">
        <v>129</v>
      </c>
      <c r="C93" s="156">
        <f>((D34+D68+D79)/220)</f>
        <v>14.875579184660387</v>
      </c>
      <c r="D93" s="71">
        <f>C93*15</f>
        <v>223.1336877699058</v>
      </c>
    </row>
    <row r="94" spans="1:4" x14ac:dyDescent="0.25">
      <c r="A94" s="307" t="s">
        <v>42</v>
      </c>
      <c r="B94" s="308"/>
      <c r="C94" s="65">
        <f>D93/(D34+D68+D79)</f>
        <v>6.8181818181818177E-2</v>
      </c>
      <c r="D94" s="50">
        <f>D93</f>
        <v>223.1336877699058</v>
      </c>
    </row>
    <row r="95" spans="1:4" x14ac:dyDescent="0.25">
      <c r="A95" s="305"/>
      <c r="B95" s="309"/>
      <c r="C95" s="309"/>
      <c r="D95" s="306"/>
    </row>
    <row r="96" spans="1:4" x14ac:dyDescent="0.25">
      <c r="A96" s="307" t="s">
        <v>79</v>
      </c>
      <c r="B96" s="308"/>
      <c r="C96" s="23" t="s">
        <v>39</v>
      </c>
      <c r="D96" s="23" t="s">
        <v>30</v>
      </c>
    </row>
    <row r="97" spans="1:6" x14ac:dyDescent="0.25">
      <c r="A97" s="48" t="s">
        <v>71</v>
      </c>
      <c r="B97" s="49" t="s">
        <v>72</v>
      </c>
      <c r="C97" s="51">
        <f>C90</f>
        <v>0.11421700000000001</v>
      </c>
      <c r="D97" s="48">
        <f>D90</f>
        <v>373.7370809300337</v>
      </c>
    </row>
    <row r="98" spans="1:6" x14ac:dyDescent="0.25">
      <c r="A98" s="48" t="s">
        <v>77</v>
      </c>
      <c r="B98" s="49" t="s">
        <v>78</v>
      </c>
      <c r="C98" s="51">
        <f>C94</f>
        <v>6.8181818181818177E-2</v>
      </c>
      <c r="D98" s="48">
        <f>D94</f>
        <v>223.1336877699058</v>
      </c>
    </row>
    <row r="99" spans="1:6" x14ac:dyDescent="0.25">
      <c r="A99" s="307" t="s">
        <v>80</v>
      </c>
      <c r="B99" s="308"/>
      <c r="C99" s="52"/>
      <c r="D99" s="23">
        <f>D97+D98</f>
        <v>596.8707686999395</v>
      </c>
    </row>
    <row r="100" spans="1:6" x14ac:dyDescent="0.25">
      <c r="A100" s="305"/>
      <c r="B100" s="309"/>
      <c r="C100" s="309"/>
      <c r="D100" s="306"/>
    </row>
    <row r="101" spans="1:6" x14ac:dyDescent="0.25">
      <c r="A101" s="314" t="s">
        <v>81</v>
      </c>
      <c r="B101" s="315"/>
      <c r="C101" s="315"/>
      <c r="D101" s="316"/>
    </row>
    <row r="102" spans="1:6" x14ac:dyDescent="0.25">
      <c r="A102" s="317"/>
      <c r="B102" s="318"/>
      <c r="C102" s="318"/>
      <c r="D102" s="319"/>
    </row>
    <row r="103" spans="1:6" x14ac:dyDescent="0.25">
      <c r="A103" s="38">
        <v>5</v>
      </c>
      <c r="B103" s="307" t="s">
        <v>82</v>
      </c>
      <c r="C103" s="308"/>
      <c r="D103" s="23" t="s">
        <v>30</v>
      </c>
    </row>
    <row r="104" spans="1:6" x14ac:dyDescent="0.25">
      <c r="A104" s="59" t="s">
        <v>31</v>
      </c>
      <c r="B104" s="320" t="s">
        <v>83</v>
      </c>
      <c r="C104" s="321"/>
      <c r="D104" s="86">
        <f>INSUMOS!E15</f>
        <v>53</v>
      </c>
      <c r="E104" s="70"/>
      <c r="F104" s="40"/>
    </row>
    <row r="105" spans="1:6" x14ac:dyDescent="0.25">
      <c r="A105" s="59" t="s">
        <v>6</v>
      </c>
      <c r="B105" s="320" t="s">
        <v>186</v>
      </c>
      <c r="C105" s="321"/>
      <c r="D105" s="86">
        <v>0</v>
      </c>
    </row>
    <row r="106" spans="1:6" x14ac:dyDescent="0.25">
      <c r="A106" s="59" t="s">
        <v>8</v>
      </c>
      <c r="B106" s="250" t="s">
        <v>34</v>
      </c>
      <c r="C106" s="251"/>
      <c r="D106" s="54">
        <v>0</v>
      </c>
    </row>
    <row r="107" spans="1:6" x14ac:dyDescent="0.25">
      <c r="A107" s="307" t="s">
        <v>85</v>
      </c>
      <c r="B107" s="322"/>
      <c r="C107" s="308"/>
      <c r="D107" s="22">
        <f>SUM(D104:D106)</f>
        <v>53</v>
      </c>
    </row>
    <row r="108" spans="1:6" x14ac:dyDescent="0.25">
      <c r="A108" s="305"/>
      <c r="B108" s="309"/>
      <c r="C108" s="309"/>
      <c r="D108" s="306"/>
    </row>
    <row r="109" spans="1:6" x14ac:dyDescent="0.25">
      <c r="A109" s="323" t="s">
        <v>86</v>
      </c>
      <c r="B109" s="323"/>
      <c r="C109" s="323"/>
      <c r="D109" s="55">
        <f>D34+D68+D79+D99+D107</f>
        <v>3922.4981893252248</v>
      </c>
    </row>
    <row r="110" spans="1:6" x14ac:dyDescent="0.25">
      <c r="A110" s="324"/>
      <c r="B110" s="324"/>
      <c r="C110" s="324"/>
      <c r="D110" s="324"/>
    </row>
    <row r="111" spans="1:6" x14ac:dyDescent="0.25">
      <c r="A111" s="325" t="s">
        <v>87</v>
      </c>
      <c r="B111" s="325"/>
      <c r="C111" s="325"/>
      <c r="D111" s="325"/>
    </row>
    <row r="112" spans="1:6" x14ac:dyDescent="0.25">
      <c r="A112" s="311"/>
      <c r="B112" s="312"/>
      <c r="C112" s="312"/>
      <c r="D112" s="313"/>
    </row>
    <row r="113" spans="1:4" x14ac:dyDescent="0.25">
      <c r="A113" s="38">
        <v>6</v>
      </c>
      <c r="B113" s="24" t="s">
        <v>88</v>
      </c>
      <c r="C113" s="23" t="s">
        <v>39</v>
      </c>
      <c r="D113" s="23" t="s">
        <v>30</v>
      </c>
    </row>
    <row r="114" spans="1:4" ht="15.75" x14ac:dyDescent="0.25">
      <c r="A114" s="59" t="s">
        <v>31</v>
      </c>
      <c r="B114" s="56" t="s">
        <v>89</v>
      </c>
      <c r="C114" s="57">
        <v>0.06</v>
      </c>
      <c r="D114" s="58">
        <f>C114*D109</f>
        <v>235.34989135951346</v>
      </c>
    </row>
    <row r="115" spans="1:4" ht="31.5" customHeight="1" x14ac:dyDescent="0.25">
      <c r="A115" s="299" t="s">
        <v>90</v>
      </c>
      <c r="B115" s="300"/>
      <c r="C115" s="301"/>
      <c r="D115" s="58">
        <f>D109+D114</f>
        <v>4157.8480806847383</v>
      </c>
    </row>
    <row r="116" spans="1:4" ht="15.75" x14ac:dyDescent="0.25">
      <c r="A116" s="59" t="s">
        <v>6</v>
      </c>
      <c r="B116" s="56" t="s">
        <v>91</v>
      </c>
      <c r="C116" s="72">
        <v>0.12134464439888147</v>
      </c>
      <c r="D116" s="58">
        <f>C116*D115</f>
        <v>504.5325968152614</v>
      </c>
    </row>
    <row r="117" spans="1:4" x14ac:dyDescent="0.25">
      <c r="A117" s="299" t="s">
        <v>90</v>
      </c>
      <c r="B117" s="300"/>
      <c r="C117" s="300"/>
      <c r="D117" s="58">
        <f>D116+D115</f>
        <v>4662.3806774999994</v>
      </c>
    </row>
    <row r="118" spans="1:4" ht="15.75" x14ac:dyDescent="0.25">
      <c r="A118" s="59" t="s">
        <v>8</v>
      </c>
      <c r="B118" s="302" t="s">
        <v>92</v>
      </c>
      <c r="C118" s="303"/>
      <c r="D118" s="304"/>
    </row>
    <row r="119" spans="1:4" x14ac:dyDescent="0.25">
      <c r="A119" s="61"/>
      <c r="B119" s="62" t="s">
        <v>93</v>
      </c>
      <c r="C119" s="60">
        <v>6.4999999999999997E-3</v>
      </c>
      <c r="D119" s="137">
        <f>(D117/(1-C122)*C119)</f>
        <v>33.175122500000001</v>
      </c>
    </row>
    <row r="120" spans="1:4" x14ac:dyDescent="0.25">
      <c r="A120" s="61"/>
      <c r="B120" s="62" t="s">
        <v>94</v>
      </c>
      <c r="C120" s="60">
        <v>0.03</v>
      </c>
      <c r="D120" s="58">
        <f>(D117/(1-C122)*C120)</f>
        <v>153.11595</v>
      </c>
    </row>
    <row r="121" spans="1:4" x14ac:dyDescent="0.25">
      <c r="A121" s="61"/>
      <c r="B121" s="62" t="s">
        <v>95</v>
      </c>
      <c r="C121" s="63">
        <v>0.05</v>
      </c>
      <c r="D121" s="58">
        <f>(D117/(1-C122)*C121)</f>
        <v>255.19325000000001</v>
      </c>
    </row>
    <row r="122" spans="1:4" x14ac:dyDescent="0.25">
      <c r="A122" s="305" t="s">
        <v>96</v>
      </c>
      <c r="B122" s="306"/>
      <c r="C122" s="64">
        <f>SUM(C119:C121)</f>
        <v>8.6499999999999994E-2</v>
      </c>
      <c r="D122" s="58">
        <f>SUM(D119:D121)</f>
        <v>441.48432249999996</v>
      </c>
    </row>
    <row r="123" spans="1:4" x14ac:dyDescent="0.25">
      <c r="A123" s="307" t="s">
        <v>97</v>
      </c>
      <c r="B123" s="308"/>
      <c r="C123" s="65">
        <f>SUM(C114+C116+C122)</f>
        <v>0.26784464439888145</v>
      </c>
      <c r="D123" s="50">
        <f>SUM(D122+D114+D116)</f>
        <v>1181.3668106747748</v>
      </c>
    </row>
    <row r="124" spans="1:4" x14ac:dyDescent="0.25">
      <c r="A124" s="305"/>
      <c r="B124" s="309"/>
      <c r="C124" s="309"/>
      <c r="D124" s="306"/>
    </row>
    <row r="125" spans="1:4" x14ac:dyDescent="0.25">
      <c r="A125" s="296" t="s">
        <v>98</v>
      </c>
      <c r="B125" s="297"/>
      <c r="C125" s="298"/>
      <c r="D125" s="66" t="s">
        <v>30</v>
      </c>
    </row>
    <row r="126" spans="1:4" x14ac:dyDescent="0.25">
      <c r="A126" s="291" t="s">
        <v>99</v>
      </c>
      <c r="B126" s="310"/>
      <c r="C126" s="310"/>
      <c r="D126" s="292"/>
    </row>
    <row r="127" spans="1:4" x14ac:dyDescent="0.25">
      <c r="A127" s="2" t="s">
        <v>31</v>
      </c>
      <c r="B127" s="291" t="s">
        <v>100</v>
      </c>
      <c r="C127" s="292"/>
      <c r="D127" s="20">
        <f>D34</f>
        <v>1760.2410413929042</v>
      </c>
    </row>
    <row r="128" spans="1:4" x14ac:dyDescent="0.25">
      <c r="A128" s="2" t="s">
        <v>6</v>
      </c>
      <c r="B128" s="291" t="s">
        <v>101</v>
      </c>
      <c r="C128" s="292"/>
      <c r="D128" s="20">
        <f>D68</f>
        <v>1386.1863415243101</v>
      </c>
    </row>
    <row r="129" spans="1:4" x14ac:dyDescent="0.25">
      <c r="A129" s="2" t="s">
        <v>8</v>
      </c>
      <c r="B129" s="291" t="s">
        <v>102</v>
      </c>
      <c r="C129" s="292"/>
      <c r="D129" s="20">
        <f>D79</f>
        <v>126.20003770807088</v>
      </c>
    </row>
    <row r="130" spans="1:4" x14ac:dyDescent="0.25">
      <c r="A130" s="2" t="s">
        <v>10</v>
      </c>
      <c r="B130" s="291" t="s">
        <v>103</v>
      </c>
      <c r="C130" s="292"/>
      <c r="D130" s="20">
        <f>D99</f>
        <v>596.8707686999395</v>
      </c>
    </row>
    <row r="131" spans="1:4" x14ac:dyDescent="0.25">
      <c r="A131" s="2" t="s">
        <v>13</v>
      </c>
      <c r="B131" s="291" t="s">
        <v>104</v>
      </c>
      <c r="C131" s="292"/>
      <c r="D131" s="20">
        <f>D107</f>
        <v>53</v>
      </c>
    </row>
    <row r="132" spans="1:4" x14ac:dyDescent="0.25">
      <c r="A132" s="293" t="s">
        <v>105</v>
      </c>
      <c r="B132" s="294"/>
      <c r="C132" s="295"/>
      <c r="D132" s="20">
        <f>SUM(D127:D131)</f>
        <v>3922.4981893252248</v>
      </c>
    </row>
    <row r="133" spans="1:4" x14ac:dyDescent="0.25">
      <c r="A133" s="2" t="s">
        <v>106</v>
      </c>
      <c r="B133" s="291" t="s">
        <v>107</v>
      </c>
      <c r="C133" s="292"/>
      <c r="D133" s="20">
        <f>D123</f>
        <v>1181.3668106747748</v>
      </c>
    </row>
    <row r="134" spans="1:4" x14ac:dyDescent="0.25">
      <c r="A134" s="296" t="s">
        <v>108</v>
      </c>
      <c r="B134" s="297"/>
      <c r="C134" s="298"/>
      <c r="D134" s="67">
        <f xml:space="preserve"> D132+D133</f>
        <v>5103.8649999999998</v>
      </c>
    </row>
    <row r="135" spans="1:4" x14ac:dyDescent="0.25">
      <c r="A135" s="296" t="s">
        <v>122</v>
      </c>
      <c r="B135" s="297"/>
      <c r="C135" s="298"/>
      <c r="D135" s="69">
        <f>D134*2</f>
        <v>10207.73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S3oM2CUuF8MIvQj7v630OFXM1ysu/5irDHA3Bo4YLp7VZDhboTtadgkEPYSWgWiwJNs1mdDFJJqk1GtHxOWhkQ==" saltValue="Wwc73gZ+79GHSjEao0xY9g==" spinCount="100000" sheet="1" objects="1" scenarios="1"/>
  <customSheetViews>
    <customSheetView guid="{5814B4A8-EA6A-43F4-B910-A8CE90082F1D}" hiddenRows="1" hiddenColumns="1" topLeftCell="A95">
      <selection activeCell="D106" sqref="D106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workbookViewId="0">
      <selection activeCell="B10" sqref="B10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/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135</v>
      </c>
      <c r="D8" s="267"/>
    </row>
    <row r="9" spans="1:4" ht="25.5" x14ac:dyDescent="0.25">
      <c r="A9" s="93" t="s">
        <v>8</v>
      </c>
      <c r="B9" s="94" t="s">
        <v>9</v>
      </c>
      <c r="C9" s="276" t="s">
        <v>109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16</v>
      </c>
      <c r="C12" s="278">
        <v>1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2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337" t="s">
        <v>28</v>
      </c>
      <c r="B25" s="337"/>
      <c r="C25" s="337"/>
      <c r="D25" s="337"/>
    </row>
    <row r="26" spans="1:4" x14ac:dyDescent="0.25">
      <c r="A26" s="338"/>
      <c r="B26" s="339"/>
      <c r="C26" s="339"/>
      <c r="D26" s="340"/>
    </row>
    <row r="27" spans="1:4" x14ac:dyDescent="0.25">
      <c r="A27" s="189">
        <v>1</v>
      </c>
      <c r="B27" s="296" t="s">
        <v>29</v>
      </c>
      <c r="C27" s="298"/>
      <c r="D27" s="189" t="s">
        <v>30</v>
      </c>
    </row>
    <row r="28" spans="1:4" x14ac:dyDescent="0.25">
      <c r="A28" s="187" t="s">
        <v>31</v>
      </c>
      <c r="B28" s="188" t="s">
        <v>32</v>
      </c>
      <c r="C28" s="149">
        <v>220</v>
      </c>
      <c r="D28" s="144">
        <f>D21/220*C28</f>
        <v>1332.15</v>
      </c>
    </row>
    <row r="29" spans="1:4" x14ac:dyDescent="0.25">
      <c r="A29" s="187" t="s">
        <v>6</v>
      </c>
      <c r="B29" s="188" t="s">
        <v>33</v>
      </c>
      <c r="C29" s="98">
        <v>0.3</v>
      </c>
      <c r="D29" s="145">
        <f>C29*D28</f>
        <v>399.64500000000004</v>
      </c>
    </row>
    <row r="30" spans="1:4" x14ac:dyDescent="0.25">
      <c r="A30" s="187" t="s">
        <v>8</v>
      </c>
      <c r="B30" s="188" t="s">
        <v>126</v>
      </c>
      <c r="C30" s="154">
        <f>(7/12)*(20%)</f>
        <v>0.11666666666666668</v>
      </c>
      <c r="D30" s="145">
        <v>0</v>
      </c>
    </row>
    <row r="31" spans="1:4" ht="25.5" x14ac:dyDescent="0.25">
      <c r="A31" s="187" t="s">
        <v>10</v>
      </c>
      <c r="B31" s="99" t="s">
        <v>127</v>
      </c>
      <c r="C31" s="155">
        <f>1/12*1.2</f>
        <v>9.9999999999999992E-2</v>
      </c>
      <c r="D31" s="145">
        <v>0</v>
      </c>
    </row>
    <row r="32" spans="1:4" x14ac:dyDescent="0.25">
      <c r="A32" s="187" t="s">
        <v>13</v>
      </c>
      <c r="B32" s="152" t="s">
        <v>185</v>
      </c>
      <c r="C32" s="151">
        <f>D32/D21</f>
        <v>2.1353482260183968E-2</v>
      </c>
      <c r="D32" s="146">
        <f>((D29+D28+D30+D31)/15.22)*3/12</f>
        <v>28.446041392904075</v>
      </c>
    </row>
    <row r="33" spans="1:4" x14ac:dyDescent="0.25">
      <c r="A33" s="187" t="s">
        <v>15</v>
      </c>
      <c r="B33" s="12" t="s">
        <v>34</v>
      </c>
      <c r="C33" s="87"/>
      <c r="D33" s="147"/>
    </row>
    <row r="34" spans="1:4" x14ac:dyDescent="0.25">
      <c r="A34" s="296" t="s">
        <v>35</v>
      </c>
      <c r="B34" s="297"/>
      <c r="C34" s="298"/>
      <c r="D34" s="14">
        <f>SUM(D28:D33)</f>
        <v>1760.2410413929042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146.68675344940868</v>
      </c>
    </row>
    <row r="40" spans="1:4" x14ac:dyDescent="0.25">
      <c r="A40" s="103" t="s">
        <v>6</v>
      </c>
      <c r="B40" s="104" t="s">
        <v>41</v>
      </c>
      <c r="C40" s="19">
        <f>D40/D34</f>
        <v>2.7777777777777776E-2</v>
      </c>
      <c r="D40" s="105">
        <f>D34/12/3</f>
        <v>48.895584483136226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195.5823379325449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391.16467586508986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48.895584483136233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58.674701379763476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29.337350689881738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19.558233793254491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11.734940275952695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3.9116467586508983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156.46587034603593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719.74300359176539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115</v>
      </c>
      <c r="C55" s="31">
        <v>3.7</v>
      </c>
      <c r="D55" s="114">
        <f>(15.22*2*C55)-(D28*50%*6%)</f>
        <v>72.663500000000013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119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473.90499999999997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195.5823379325449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719.74300359176539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473.90499999999997</v>
      </c>
    </row>
    <row r="68" spans="1:5" x14ac:dyDescent="0.25">
      <c r="A68" s="235" t="s">
        <v>42</v>
      </c>
      <c r="B68" s="252"/>
      <c r="C68" s="236"/>
      <c r="D68" s="107">
        <f>SUM(D65:D67)</f>
        <v>1389.2303415243102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108.69488430601183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8.6955907444809473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4.8308837469338597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2.8168746220734779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1.0366098609230401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0.12519442764771013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126.20003770807088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297.26718142174462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72.706802852198834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1.0514905260207166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3.0201690498165128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3.902839625297886E-2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374.08467224603368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14.88941554829675</v>
      </c>
      <c r="D93" s="129">
        <f>C93*15</f>
        <v>223.34123322445126</v>
      </c>
    </row>
    <row r="94" spans="1:4" x14ac:dyDescent="0.25">
      <c r="A94" s="235" t="s">
        <v>42</v>
      </c>
      <c r="B94" s="236"/>
      <c r="C94" s="130">
        <f>D93/(D34+D68+D79)</f>
        <v>6.8181818181818191E-2</v>
      </c>
      <c r="D94" s="131">
        <f>D93</f>
        <v>223.34123322445126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374.08467224603368</v>
      </c>
    </row>
    <row r="98" spans="1:6" x14ac:dyDescent="0.25">
      <c r="A98" s="127" t="s">
        <v>77</v>
      </c>
      <c r="B98" s="128" t="s">
        <v>78</v>
      </c>
      <c r="C98" s="132">
        <f>C94</f>
        <v>6.8181818181818191E-2</v>
      </c>
      <c r="D98" s="127">
        <f>D94</f>
        <v>223.34123322445126</v>
      </c>
    </row>
    <row r="99" spans="1:6" x14ac:dyDescent="0.25">
      <c r="A99" s="235" t="s">
        <v>80</v>
      </c>
      <c r="B99" s="236"/>
      <c r="C99" s="133"/>
      <c r="D99" s="108">
        <f>D97+D98</f>
        <v>597.42590547048496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84</v>
      </c>
      <c r="C105" s="249"/>
      <c r="D105" s="86">
        <f>INSUMOS!M21</f>
        <v>20.508333333333336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73.50833333333334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3946.6056594291031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236.79633956574617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4183.4019989948492</v>
      </c>
    </row>
    <row r="116" spans="1:4" ht="15.75" x14ac:dyDescent="0.25">
      <c r="A116" s="113" t="s">
        <v>6</v>
      </c>
      <c r="B116" s="136" t="s">
        <v>91</v>
      </c>
      <c r="C116" s="72">
        <v>0.1144950159272847</v>
      </c>
      <c r="D116" s="137">
        <f>C116*D115</f>
        <v>478.9786785051499</v>
      </c>
    </row>
    <row r="117" spans="1:4" x14ac:dyDescent="0.25">
      <c r="A117" s="227" t="s">
        <v>90</v>
      </c>
      <c r="B117" s="228"/>
      <c r="C117" s="228"/>
      <c r="D117" s="137">
        <f>D116+D115</f>
        <v>4662.3806774999994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33.175122500000001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153.11595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255.19325000000001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441.48432249999996</v>
      </c>
    </row>
    <row r="123" spans="1:4" x14ac:dyDescent="0.25">
      <c r="A123" s="235" t="s">
        <v>97</v>
      </c>
      <c r="B123" s="236"/>
      <c r="C123" s="130">
        <f>SUM(C114+C116+C122)</f>
        <v>0.26099501592728469</v>
      </c>
      <c r="D123" s="131">
        <f>SUM(D122+D114+D116)</f>
        <v>1157.259340570896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1760.2410413929042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1389.2303415243102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126.20003770807088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597.42590547048496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73.50833333333334</v>
      </c>
    </row>
    <row r="132" spans="1:4" x14ac:dyDescent="0.25">
      <c r="A132" s="221" t="s">
        <v>105</v>
      </c>
      <c r="B132" s="222"/>
      <c r="C132" s="223"/>
      <c r="D132" s="105">
        <f>SUM(D127:D131)</f>
        <v>3946.6056594291031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1157.259340570896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5103.8649999999989</v>
      </c>
    </row>
    <row r="135" spans="1:4" x14ac:dyDescent="0.25">
      <c r="A135" s="224" t="s">
        <v>122</v>
      </c>
      <c r="B135" s="225"/>
      <c r="C135" s="226"/>
      <c r="D135" s="143">
        <f>D134*2</f>
        <v>10207.729999999998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UcJc6xk2pMJz4ExRR8C/SscbVwiGLPAERsSdpvS1Ul11f6UaoXEynufqcfvR46zDV0kluLhHpYJD0Y4NCE1J4w==" saltValue="ZxHR3lzWg9mMwqVQoNvixw==" spinCount="100000" sheet="1" objects="1" scenarios="1"/>
  <customSheetViews>
    <customSheetView guid="{5814B4A8-EA6A-43F4-B910-A8CE90082F1D}" hiddenRows="1" hiddenColumns="1" topLeftCell="A97">
      <selection activeCell="E105" sqref="E105:F105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FC82"/>
  <sheetViews>
    <sheetView tabSelected="1" zoomScale="90" zoomScaleNormal="90" workbookViewId="0">
      <selection activeCell="D5" sqref="D5"/>
    </sheetView>
  </sheetViews>
  <sheetFormatPr defaultColWidth="0" defaultRowHeight="15" zeroHeight="1" x14ac:dyDescent="0.25"/>
  <cols>
    <col min="1" max="1" width="3.28515625" style="161" customWidth="1"/>
    <col min="2" max="2" width="24.5703125" style="89" customWidth="1"/>
    <col min="3" max="3" width="10.7109375" style="175" customWidth="1"/>
    <col min="4" max="4" width="18.140625" style="175" customWidth="1"/>
    <col min="5" max="5" width="13.7109375" style="175" customWidth="1"/>
    <col min="6" max="6" width="9.140625" style="161" customWidth="1"/>
    <col min="7" max="7" width="24.140625" style="89" customWidth="1"/>
    <col min="8" max="8" width="14.28515625" style="89" customWidth="1"/>
    <col min="9" max="9" width="15.140625" style="89" customWidth="1"/>
    <col min="10" max="10" width="12.42578125" style="89" bestFit="1" customWidth="1"/>
    <col min="11" max="11" width="22.140625" style="89" customWidth="1"/>
    <col min="12" max="12" width="17.7109375" style="89" bestFit="1" customWidth="1"/>
    <col min="13" max="13" width="13.42578125" style="89" bestFit="1" customWidth="1"/>
    <col min="14" max="15" width="9.140625" style="89" customWidth="1"/>
    <col min="16" max="16383" width="9.140625" style="89" hidden="1"/>
    <col min="16384" max="16384" width="7.7109375" style="89" hidden="1"/>
  </cols>
  <sheetData>
    <row r="1" spans="2:15" ht="15.75" thickBot="1" x14ac:dyDescent="0.3">
      <c r="B1" s="161"/>
      <c r="C1" s="161"/>
      <c r="D1" s="161"/>
      <c r="E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2:15" ht="21" thickBot="1" x14ac:dyDescent="0.3">
      <c r="B2" s="204" t="s">
        <v>149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6"/>
      <c r="N2" s="161"/>
      <c r="O2" s="161"/>
    </row>
    <row r="3" spans="2:15" ht="19.5" thickBot="1" x14ac:dyDescent="0.3">
      <c r="B3" s="216" t="s">
        <v>150</v>
      </c>
      <c r="C3" s="217"/>
      <c r="D3" s="217"/>
      <c r="E3" s="218"/>
      <c r="G3" s="213" t="s">
        <v>182</v>
      </c>
      <c r="H3" s="214"/>
      <c r="I3" s="214"/>
      <c r="J3" s="214"/>
      <c r="K3" s="214"/>
      <c r="L3" s="214"/>
      <c r="M3" s="215"/>
      <c r="N3" s="161"/>
      <c r="O3" s="161"/>
    </row>
    <row r="4" spans="2:15" ht="32.25" thickBot="1" x14ac:dyDescent="0.3">
      <c r="B4" s="162" t="s">
        <v>151</v>
      </c>
      <c r="C4" s="163" t="s">
        <v>152</v>
      </c>
      <c r="D4" s="162" t="s">
        <v>187</v>
      </c>
      <c r="E4" s="162" t="s">
        <v>153</v>
      </c>
      <c r="G4" s="162" t="s">
        <v>151</v>
      </c>
      <c r="H4" s="163" t="s">
        <v>152</v>
      </c>
      <c r="I4" s="162" t="s">
        <v>188</v>
      </c>
      <c r="J4" s="162" t="s">
        <v>153</v>
      </c>
      <c r="K4" s="162" t="s">
        <v>179</v>
      </c>
      <c r="L4" s="162" t="s">
        <v>181</v>
      </c>
      <c r="M4" s="162" t="s">
        <v>153</v>
      </c>
      <c r="N4" s="161"/>
      <c r="O4" s="161"/>
    </row>
    <row r="5" spans="2:15" ht="16.5" thickBot="1" x14ac:dyDescent="0.3">
      <c r="B5" s="164" t="s">
        <v>154</v>
      </c>
      <c r="C5" s="176">
        <v>1</v>
      </c>
      <c r="D5" s="177">
        <v>95</v>
      </c>
      <c r="E5" s="165">
        <f>D5*C5</f>
        <v>95</v>
      </c>
      <c r="G5" s="164" t="s">
        <v>176</v>
      </c>
      <c r="H5" s="178">
        <v>1</v>
      </c>
      <c r="I5" s="177">
        <v>64</v>
      </c>
      <c r="J5" s="165">
        <f>H5*I5</f>
        <v>64</v>
      </c>
      <c r="K5" s="166">
        <v>10</v>
      </c>
      <c r="L5" s="167">
        <f t="shared" ref="L5:L10" si="0">100/K5/100</f>
        <v>0.1</v>
      </c>
      <c r="M5" s="168">
        <f>J5*(L5)</f>
        <v>6.4</v>
      </c>
      <c r="N5" s="161"/>
      <c r="O5" s="161"/>
    </row>
    <row r="6" spans="2:15" ht="16.5" thickBot="1" x14ac:dyDescent="0.3">
      <c r="B6" s="164" t="s">
        <v>155</v>
      </c>
      <c r="C6" s="176">
        <v>2</v>
      </c>
      <c r="D6" s="177">
        <v>95</v>
      </c>
      <c r="E6" s="165">
        <f t="shared" ref="E6:E13" si="1">D6*C6</f>
        <v>190</v>
      </c>
      <c r="G6" s="164" t="s">
        <v>165</v>
      </c>
      <c r="H6" s="178">
        <v>1</v>
      </c>
      <c r="I6" s="177">
        <v>10</v>
      </c>
      <c r="J6" s="165">
        <f t="shared" ref="J6:J18" si="2">H6*I6</f>
        <v>10</v>
      </c>
      <c r="K6" s="166">
        <v>10</v>
      </c>
      <c r="L6" s="167">
        <f t="shared" si="0"/>
        <v>0.1</v>
      </c>
      <c r="M6" s="168">
        <f t="shared" ref="M6:M18" si="3">J6*(L6)</f>
        <v>1</v>
      </c>
      <c r="N6" s="161"/>
      <c r="O6" s="161"/>
    </row>
    <row r="7" spans="2:15" ht="16.5" thickBot="1" x14ac:dyDescent="0.3">
      <c r="B7" s="164" t="s">
        <v>156</v>
      </c>
      <c r="C7" s="176">
        <v>1</v>
      </c>
      <c r="D7" s="177">
        <v>85</v>
      </c>
      <c r="E7" s="165">
        <f t="shared" si="1"/>
        <v>85</v>
      </c>
      <c r="G7" s="164" t="s">
        <v>166</v>
      </c>
      <c r="H7" s="178">
        <v>1</v>
      </c>
      <c r="I7" s="177">
        <v>10</v>
      </c>
      <c r="J7" s="165">
        <f t="shared" si="2"/>
        <v>10</v>
      </c>
      <c r="K7" s="166">
        <v>10</v>
      </c>
      <c r="L7" s="167">
        <f t="shared" si="0"/>
        <v>0.1</v>
      </c>
      <c r="M7" s="168">
        <f t="shared" si="3"/>
        <v>1</v>
      </c>
      <c r="N7" s="161"/>
      <c r="O7" s="161"/>
    </row>
    <row r="8" spans="2:15" ht="16.5" thickBot="1" x14ac:dyDescent="0.3">
      <c r="B8" s="164" t="s">
        <v>157</v>
      </c>
      <c r="C8" s="176">
        <v>1</v>
      </c>
      <c r="D8" s="177">
        <v>20</v>
      </c>
      <c r="E8" s="165">
        <f t="shared" si="1"/>
        <v>20</v>
      </c>
      <c r="G8" s="164" t="s">
        <v>167</v>
      </c>
      <c r="H8" s="178">
        <v>1</v>
      </c>
      <c r="I8" s="177">
        <v>15</v>
      </c>
      <c r="J8" s="165">
        <f t="shared" si="2"/>
        <v>15</v>
      </c>
      <c r="K8" s="166">
        <v>5</v>
      </c>
      <c r="L8" s="167">
        <f t="shared" si="0"/>
        <v>0.2</v>
      </c>
      <c r="M8" s="168">
        <f t="shared" si="3"/>
        <v>3</v>
      </c>
      <c r="N8" s="161"/>
      <c r="O8" s="161"/>
    </row>
    <row r="9" spans="2:15" ht="16.5" thickBot="1" x14ac:dyDescent="0.3">
      <c r="B9" s="164" t="s">
        <v>158</v>
      </c>
      <c r="C9" s="176">
        <v>1</v>
      </c>
      <c r="D9" s="177">
        <v>35</v>
      </c>
      <c r="E9" s="165">
        <f t="shared" si="1"/>
        <v>35</v>
      </c>
      <c r="G9" s="164" t="s">
        <v>168</v>
      </c>
      <c r="H9" s="178">
        <v>1</v>
      </c>
      <c r="I9" s="177">
        <v>85</v>
      </c>
      <c r="J9" s="165">
        <f t="shared" si="2"/>
        <v>85</v>
      </c>
      <c r="K9" s="166">
        <v>5</v>
      </c>
      <c r="L9" s="167">
        <f t="shared" si="0"/>
        <v>0.2</v>
      </c>
      <c r="M9" s="168">
        <f t="shared" si="3"/>
        <v>17</v>
      </c>
      <c r="N9" s="161"/>
      <c r="O9" s="161"/>
    </row>
    <row r="10" spans="2:15" ht="16.5" thickBot="1" x14ac:dyDescent="0.3">
      <c r="B10" s="164" t="s">
        <v>159</v>
      </c>
      <c r="C10" s="176">
        <v>1</v>
      </c>
      <c r="D10" s="177">
        <v>150</v>
      </c>
      <c r="E10" s="165">
        <f t="shared" si="1"/>
        <v>150</v>
      </c>
      <c r="G10" s="164" t="s">
        <v>169</v>
      </c>
      <c r="H10" s="178">
        <v>1</v>
      </c>
      <c r="I10" s="177">
        <v>260</v>
      </c>
      <c r="J10" s="165">
        <f t="shared" si="2"/>
        <v>260</v>
      </c>
      <c r="K10" s="166">
        <v>10</v>
      </c>
      <c r="L10" s="167">
        <f t="shared" si="0"/>
        <v>0.1</v>
      </c>
      <c r="M10" s="168">
        <f t="shared" si="3"/>
        <v>26</v>
      </c>
      <c r="N10" s="161"/>
      <c r="O10" s="161"/>
    </row>
    <row r="11" spans="2:15" ht="16.5" thickBot="1" x14ac:dyDescent="0.3">
      <c r="B11" s="164" t="s">
        <v>160</v>
      </c>
      <c r="C11" s="176">
        <v>2</v>
      </c>
      <c r="D11" s="177">
        <v>8</v>
      </c>
      <c r="E11" s="165">
        <f t="shared" si="1"/>
        <v>16</v>
      </c>
      <c r="G11" s="164" t="s">
        <v>177</v>
      </c>
      <c r="H11" s="178">
        <v>1</v>
      </c>
      <c r="I11" s="177">
        <v>4200</v>
      </c>
      <c r="J11" s="165">
        <f t="shared" si="2"/>
        <v>4200</v>
      </c>
      <c r="K11" s="169">
        <v>30</v>
      </c>
      <c r="L11" s="167">
        <f>100/K11/100</f>
        <v>3.3333333333333333E-2</v>
      </c>
      <c r="M11" s="168">
        <f>J11*(L11)</f>
        <v>140</v>
      </c>
      <c r="N11" s="161"/>
      <c r="O11" s="161"/>
    </row>
    <row r="12" spans="2:15" ht="16.5" thickBot="1" x14ac:dyDescent="0.3">
      <c r="B12" s="164" t="s">
        <v>161</v>
      </c>
      <c r="C12" s="176">
        <v>1</v>
      </c>
      <c r="D12" s="177">
        <v>25</v>
      </c>
      <c r="E12" s="165">
        <f t="shared" si="1"/>
        <v>25</v>
      </c>
      <c r="G12" s="164" t="s">
        <v>178</v>
      </c>
      <c r="H12" s="178">
        <v>1</v>
      </c>
      <c r="I12" s="177">
        <v>155</v>
      </c>
      <c r="J12" s="165">
        <f t="shared" si="2"/>
        <v>155</v>
      </c>
      <c r="K12" s="169">
        <v>10</v>
      </c>
      <c r="L12" s="167">
        <f t="shared" ref="L12:L18" si="4">100/K12/100</f>
        <v>0.1</v>
      </c>
      <c r="M12" s="168">
        <f t="shared" si="3"/>
        <v>15.5</v>
      </c>
      <c r="N12" s="161"/>
      <c r="O12" s="161"/>
    </row>
    <row r="13" spans="2:15" ht="16.5" thickBot="1" x14ac:dyDescent="0.3">
      <c r="B13" s="164" t="s">
        <v>162</v>
      </c>
      <c r="C13" s="176">
        <v>1</v>
      </c>
      <c r="D13" s="177">
        <v>20</v>
      </c>
      <c r="E13" s="165">
        <f t="shared" si="1"/>
        <v>20</v>
      </c>
      <c r="G13" s="164" t="s">
        <v>170</v>
      </c>
      <c r="H13" s="178">
        <v>1</v>
      </c>
      <c r="I13" s="177">
        <v>85</v>
      </c>
      <c r="J13" s="165">
        <f t="shared" si="2"/>
        <v>85</v>
      </c>
      <c r="K13" s="169">
        <v>10</v>
      </c>
      <c r="L13" s="167">
        <f t="shared" si="4"/>
        <v>0.1</v>
      </c>
      <c r="M13" s="168">
        <f t="shared" si="3"/>
        <v>8.5</v>
      </c>
      <c r="N13" s="161"/>
      <c r="O13" s="161"/>
    </row>
    <row r="14" spans="2:15" ht="16.5" thickBot="1" x14ac:dyDescent="0.3">
      <c r="B14" s="210" t="s">
        <v>163</v>
      </c>
      <c r="C14" s="211"/>
      <c r="D14" s="212"/>
      <c r="E14" s="170">
        <f>SUM(E5:E13)</f>
        <v>636</v>
      </c>
      <c r="G14" s="164" t="s">
        <v>171</v>
      </c>
      <c r="H14" s="178">
        <v>24</v>
      </c>
      <c r="I14" s="177">
        <v>6</v>
      </c>
      <c r="J14" s="165">
        <f t="shared" si="2"/>
        <v>144</v>
      </c>
      <c r="K14" s="169">
        <v>5</v>
      </c>
      <c r="L14" s="167">
        <f t="shared" si="4"/>
        <v>0.2</v>
      </c>
      <c r="M14" s="168">
        <f t="shared" si="3"/>
        <v>28.8</v>
      </c>
      <c r="N14" s="161"/>
      <c r="O14" s="161"/>
    </row>
    <row r="15" spans="2:15" ht="16.5" thickBot="1" x14ac:dyDescent="0.3">
      <c r="B15" s="210" t="s">
        <v>164</v>
      </c>
      <c r="C15" s="211"/>
      <c r="D15" s="212"/>
      <c r="E15" s="171">
        <f>E14/12</f>
        <v>53</v>
      </c>
      <c r="G15" s="172" t="s">
        <v>172</v>
      </c>
      <c r="H15" s="179">
        <v>1</v>
      </c>
      <c r="I15" s="180">
        <v>950</v>
      </c>
      <c r="J15" s="173">
        <f t="shared" si="2"/>
        <v>950</v>
      </c>
      <c r="K15" s="169">
        <v>5</v>
      </c>
      <c r="L15" s="167">
        <f>100/K15/100</f>
        <v>0.2</v>
      </c>
      <c r="M15" s="168">
        <f t="shared" si="3"/>
        <v>190</v>
      </c>
      <c r="N15" s="161"/>
      <c r="O15" s="161"/>
    </row>
    <row r="16" spans="2:15" ht="16.5" thickBot="1" x14ac:dyDescent="0.3">
      <c r="B16" s="161"/>
      <c r="C16" s="161"/>
      <c r="D16" s="161"/>
      <c r="E16" s="161"/>
      <c r="G16" s="164" t="s">
        <v>173</v>
      </c>
      <c r="H16" s="178">
        <v>1</v>
      </c>
      <c r="I16" s="177">
        <v>15</v>
      </c>
      <c r="J16" s="165">
        <f t="shared" si="2"/>
        <v>15</v>
      </c>
      <c r="K16" s="166">
        <v>1</v>
      </c>
      <c r="L16" s="167">
        <f t="shared" si="4"/>
        <v>1</v>
      </c>
      <c r="M16" s="168">
        <f t="shared" si="3"/>
        <v>15</v>
      </c>
      <c r="N16" s="161"/>
      <c r="O16" s="161"/>
    </row>
    <row r="17" spans="2:15" ht="16.5" thickBot="1" x14ac:dyDescent="0.3">
      <c r="B17" s="161"/>
      <c r="C17" s="161"/>
      <c r="D17" s="161"/>
      <c r="E17" s="161"/>
      <c r="G17" s="164" t="s">
        <v>174</v>
      </c>
      <c r="H17" s="178">
        <v>1</v>
      </c>
      <c r="I17" s="177">
        <v>80</v>
      </c>
      <c r="J17" s="165">
        <f t="shared" si="2"/>
        <v>80</v>
      </c>
      <c r="K17" s="166">
        <v>5</v>
      </c>
      <c r="L17" s="167">
        <f t="shared" si="4"/>
        <v>0.2</v>
      </c>
      <c r="M17" s="168">
        <f t="shared" si="3"/>
        <v>16</v>
      </c>
      <c r="N17" s="161"/>
      <c r="O17" s="161"/>
    </row>
    <row r="18" spans="2:15" ht="16.5" thickBot="1" x14ac:dyDescent="0.3">
      <c r="B18" s="161"/>
      <c r="C18" s="161"/>
      <c r="D18" s="161"/>
      <c r="E18" s="161"/>
      <c r="G18" s="164" t="s">
        <v>175</v>
      </c>
      <c r="H18" s="178">
        <v>4</v>
      </c>
      <c r="I18" s="177">
        <v>6</v>
      </c>
      <c r="J18" s="165">
        <f t="shared" si="2"/>
        <v>24</v>
      </c>
      <c r="K18" s="166">
        <v>1</v>
      </c>
      <c r="L18" s="167">
        <f t="shared" si="4"/>
        <v>1</v>
      </c>
      <c r="M18" s="168">
        <f t="shared" si="3"/>
        <v>24</v>
      </c>
      <c r="N18" s="161"/>
      <c r="O18" s="161"/>
    </row>
    <row r="19" spans="2:15" ht="16.5" customHeight="1" thickBot="1" x14ac:dyDescent="0.3">
      <c r="B19" s="161"/>
      <c r="C19" s="161"/>
      <c r="D19" s="161"/>
      <c r="E19" s="161"/>
      <c r="G19" s="207" t="s">
        <v>163</v>
      </c>
      <c r="H19" s="208"/>
      <c r="I19" s="208"/>
      <c r="J19" s="208"/>
      <c r="K19" s="208"/>
      <c r="L19" s="209"/>
      <c r="M19" s="170">
        <f>SUM(M5:M18)</f>
        <v>492.20000000000005</v>
      </c>
      <c r="N19" s="161"/>
      <c r="O19" s="161"/>
    </row>
    <row r="20" spans="2:15" ht="16.5" customHeight="1" thickBot="1" x14ac:dyDescent="0.3">
      <c r="B20" s="161"/>
      <c r="C20" s="161"/>
      <c r="D20" s="161"/>
      <c r="E20" s="161"/>
      <c r="G20" s="210" t="s">
        <v>164</v>
      </c>
      <c r="H20" s="211"/>
      <c r="I20" s="211"/>
      <c r="J20" s="211"/>
      <c r="K20" s="211"/>
      <c r="L20" s="212"/>
      <c r="M20" s="170">
        <f>M19/12</f>
        <v>41.016666666666673</v>
      </c>
      <c r="N20" s="161"/>
      <c r="O20" s="161"/>
    </row>
    <row r="21" spans="2:15" s="161" customFormat="1" ht="16.5" customHeight="1" thickBot="1" x14ac:dyDescent="0.3">
      <c r="G21" s="210" t="s">
        <v>180</v>
      </c>
      <c r="H21" s="211"/>
      <c r="I21" s="211"/>
      <c r="J21" s="211"/>
      <c r="K21" s="211"/>
      <c r="L21" s="212"/>
      <c r="M21" s="174">
        <f>M20/2</f>
        <v>20.508333333333336</v>
      </c>
    </row>
    <row r="22" spans="2:15" s="161" customFormat="1" ht="16.5" customHeight="1" x14ac:dyDescent="0.25"/>
    <row r="23" spans="2:15" hidden="1" x14ac:dyDescent="0.25">
      <c r="J23" s="161"/>
      <c r="K23" s="161"/>
      <c r="L23" s="161"/>
      <c r="M23" s="161"/>
      <c r="N23" s="161"/>
      <c r="O23" s="161"/>
    </row>
    <row r="24" spans="2:15" hidden="1" x14ac:dyDescent="0.25">
      <c r="J24" s="161"/>
      <c r="K24" s="161"/>
      <c r="L24" s="161"/>
      <c r="M24" s="161"/>
      <c r="N24" s="161"/>
      <c r="O24" s="161"/>
    </row>
    <row r="25" spans="2:15" hidden="1" x14ac:dyDescent="0.25">
      <c r="M25" s="161"/>
      <c r="N25" s="161"/>
      <c r="O25" s="161"/>
    </row>
    <row r="26" spans="2:15" hidden="1" x14ac:dyDescent="0.25">
      <c r="M26" s="161"/>
    </row>
    <row r="27" spans="2:15" hidden="1" x14ac:dyDescent="0.25"/>
    <row r="28" spans="2:15" hidden="1" x14ac:dyDescent="0.25"/>
    <row r="29" spans="2:15" hidden="1" x14ac:dyDescent="0.25"/>
    <row r="30" spans="2:15" hidden="1" x14ac:dyDescent="0.25"/>
    <row r="31" spans="2:15" hidden="1" x14ac:dyDescent="0.25"/>
    <row r="32" spans="2:15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</sheetData>
  <sheetProtection algorithmName="SHA-512" hashValue="e/LocfA3XbAHtQ9DzYDwP1NZI8JJAz3dNpieUPRFZnEsqXXMnKp4X6RpzIqoF5jMEMFSjkYq/SbbWYLy64KEWw==" saltValue="MS0M8aN5Q3RSu9MdeUf6ZQ==" spinCount="100000" sheet="1" objects="1" scenarios="1"/>
  <protectedRanges>
    <protectedRange sqref="I5:I18 D5:D13" name="Intervalo1"/>
  </protectedRanges>
  <customSheetViews>
    <customSheetView guid="{5814B4A8-EA6A-43F4-B910-A8CE90082F1D}" scale="90" hiddenRows="1" hiddenColumns="1">
      <selection activeCell="G3" sqref="G3:M19"/>
      <pageMargins left="0.511811024" right="0.511811024" top="0.78740157499999996" bottom="0.78740157499999996" header="0.31496062000000002" footer="0.31496062000000002"/>
    </customSheetView>
  </customSheetViews>
  <mergeCells count="8">
    <mergeCell ref="B2:M2"/>
    <mergeCell ref="G19:L19"/>
    <mergeCell ref="G20:L20"/>
    <mergeCell ref="G21:L21"/>
    <mergeCell ref="G3:M3"/>
    <mergeCell ref="B14:D14"/>
    <mergeCell ref="B15:D15"/>
    <mergeCell ref="B3:E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workbookViewId="0">
      <selection activeCell="C19" sqref="C19:D19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/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112</v>
      </c>
      <c r="D8" s="267"/>
    </row>
    <row r="9" spans="1:4" ht="25.5" x14ac:dyDescent="0.25">
      <c r="A9" s="93" t="s">
        <v>8</v>
      </c>
      <c r="B9" s="94" t="s">
        <v>9</v>
      </c>
      <c r="C9" s="276" t="s">
        <v>109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16</v>
      </c>
      <c r="C12" s="278">
        <v>2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4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0">
        <f>(7/12)*(20%)</f>
        <v>0.11666666666666668</v>
      </c>
      <c r="D30" s="145">
        <f>C30*(D28+D29)</f>
        <v>202.04275000000004</v>
      </c>
    </row>
    <row r="31" spans="1:4" ht="25.5" x14ac:dyDescent="0.25">
      <c r="A31" s="91" t="s">
        <v>10</v>
      </c>
      <c r="B31" s="99" t="s">
        <v>127</v>
      </c>
      <c r="C31" s="13">
        <f>1/12*1.2</f>
        <v>9.9999999999999992E-2</v>
      </c>
      <c r="D31" s="145">
        <f>(D28+D29)*C31</f>
        <v>173.17949999999999</v>
      </c>
    </row>
    <row r="32" spans="1:4" x14ac:dyDescent="0.25">
      <c r="A32" s="91" t="s">
        <v>13</v>
      </c>
      <c r="B32" s="152" t="s">
        <v>185</v>
      </c>
      <c r="C32" s="151">
        <f>D32/D21</f>
        <v>2.5980070083223832E-2</v>
      </c>
      <c r="D32" s="146">
        <f>((D29+D28+D30+D31)/15.22)*3/12</f>
        <v>34.60935036136663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48">
        <f>SUM(D28:D33)</f>
        <v>2141.6266003613669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178.46888336344725</v>
      </c>
    </row>
    <row r="40" spans="1:4" x14ac:dyDescent="0.25">
      <c r="A40" s="103" t="s">
        <v>6</v>
      </c>
      <c r="B40" s="104" t="s">
        <v>41</v>
      </c>
      <c r="C40" s="19">
        <f>D40/D34</f>
        <v>2.777777777777778E-2</v>
      </c>
      <c r="D40" s="105">
        <f>D34/12/3</f>
        <v>59.489627787815749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237.958511151263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475.91702230252599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59.489627787815749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71.38755334537889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35.693776672689445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23.795851115126297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14.277510669075779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4.7591702230252597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190.36680892101037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875.68732103664786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148</v>
      </c>
      <c r="C55" s="31">
        <v>3.95</v>
      </c>
      <c r="D55" s="114">
        <f>(15.22*2*C55)-(D28*50%*6%)</f>
        <v>80.273500000000013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  <c r="E57" s="118"/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119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481.51499999999999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237.958511151263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875.68732103664786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481.51499999999999</v>
      </c>
    </row>
    <row r="68" spans="1:5" x14ac:dyDescent="0.25">
      <c r="A68" s="235" t="s">
        <v>42</v>
      </c>
      <c r="B68" s="252"/>
      <c r="C68" s="236"/>
      <c r="D68" s="107">
        <f>SUM(D65:D67)</f>
        <v>1595.1608321879107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132.2454425723144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10.579635405785153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5.8775752254361953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3.427197456856065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1.261208664123032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0.15231988697138066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153.54337921148624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139</v>
      </c>
      <c r="C84" s="44">
        <v>9.0749999999999997E-2</v>
      </c>
      <c r="D84" s="125">
        <f>C84*(D34+D68+D79)</f>
        <v>353.04752116728929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86.349782697841931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1.2487961905752052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3.5868850084434243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4.5050350341124271E-2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444.27803541449094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88">
        <f>((D34+D68+D79)/220)</f>
        <v>17.683321871639837</v>
      </c>
      <c r="D93" s="129">
        <f>C93*15</f>
        <v>265.24982807459753</v>
      </c>
    </row>
    <row r="94" spans="1:4" x14ac:dyDescent="0.25">
      <c r="A94" s="235" t="s">
        <v>42</v>
      </c>
      <c r="B94" s="236"/>
      <c r="C94" s="130">
        <f>D93/(D34+D68+D79)</f>
        <v>6.8181818181818177E-2</v>
      </c>
      <c r="D94" s="131">
        <f>D93</f>
        <v>265.24982807459753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444.27803541449094</v>
      </c>
    </row>
    <row r="98" spans="1:6" x14ac:dyDescent="0.25">
      <c r="A98" s="127" t="s">
        <v>77</v>
      </c>
      <c r="B98" s="128" t="s">
        <v>78</v>
      </c>
      <c r="C98" s="132">
        <f>C94</f>
        <v>6.8181818181818177E-2</v>
      </c>
      <c r="D98" s="127">
        <f>D94</f>
        <v>265.24982807459753</v>
      </c>
    </row>
    <row r="99" spans="1:6" x14ac:dyDescent="0.25">
      <c r="A99" s="235" t="s">
        <v>80</v>
      </c>
      <c r="B99" s="236"/>
      <c r="C99" s="133"/>
      <c r="D99" s="108">
        <f>D97+D98</f>
        <v>709.52786348908853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84</v>
      </c>
      <c r="C105" s="249"/>
      <c r="D105" s="86">
        <f>INSUMOS!M21</f>
        <v>20.508333333333336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73.50833333333334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4673.3670085831855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280.40202051499114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4953.7690290981764</v>
      </c>
    </row>
    <row r="116" spans="1:4" ht="15.75" x14ac:dyDescent="0.25">
      <c r="A116" s="113" t="s">
        <v>6</v>
      </c>
      <c r="B116" s="136" t="s">
        <v>91</v>
      </c>
      <c r="C116" s="72">
        <v>6.8279631410953806E-2</v>
      </c>
      <c r="D116" s="137">
        <f>C116*D115</f>
        <v>338.24152340182201</v>
      </c>
    </row>
    <row r="117" spans="1:4" x14ac:dyDescent="0.25">
      <c r="A117" s="227" t="s">
        <v>90</v>
      </c>
      <c r="B117" s="228"/>
      <c r="C117" s="228"/>
      <c r="D117" s="137">
        <f>D116+D115</f>
        <v>5292.0105524999981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37.655247499999987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173.79344999999992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289.6557499999999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501.10444749999982</v>
      </c>
    </row>
    <row r="123" spans="1:4" x14ac:dyDescent="0.25">
      <c r="A123" s="235" t="s">
        <v>97</v>
      </c>
      <c r="B123" s="236"/>
      <c r="C123" s="130">
        <f>SUM(C114+C116+C122)</f>
        <v>0.2147796314109538</v>
      </c>
      <c r="D123" s="131">
        <f>SUM(D122+D114+D116)</f>
        <v>1119.747991416813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2141.6266003613669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1595.1608321879107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153.54337921148624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709.52786348908853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73.50833333333334</v>
      </c>
    </row>
    <row r="132" spans="1:4" x14ac:dyDescent="0.25">
      <c r="A132" s="221" t="s">
        <v>105</v>
      </c>
      <c r="B132" s="222"/>
      <c r="C132" s="223"/>
      <c r="D132" s="105">
        <f>SUM(D127:D131)</f>
        <v>4673.3670085831855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1119.747991416813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5793.114999999998</v>
      </c>
    </row>
    <row r="135" spans="1:4" x14ac:dyDescent="0.25">
      <c r="A135" s="224" t="s">
        <v>122</v>
      </c>
      <c r="B135" s="225"/>
      <c r="C135" s="226"/>
      <c r="D135" s="143">
        <f>D134*2</f>
        <v>11586.229999999996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  <row r="145" hidden="1" x14ac:dyDescent="0.25"/>
  </sheetData>
  <sheetProtection algorithmName="SHA-512" hashValue="GikR4ECCXYGXQMDq3Gyf1bbkJS0ure8MHg0LJWKL8x6Kd83u7b/oEPXNycKnCLqKRVv6HZdhYutDQn8ORhytBA==" saltValue="5UgzUVOo8GlOzh0A9ASH7Q==" spinCount="100000" sheet="1" objects="1" scenarios="1"/>
  <customSheetViews>
    <customSheetView guid="{5814B4A8-EA6A-43F4-B910-A8CE90082F1D}" hiddenRows="1" hiddenColumns="1" topLeftCell="A115">
      <selection activeCell="C116" sqref="C116"/>
      <pageMargins left="0.511811024" right="0.511811024" top="0.78740157499999996" bottom="0.78740157499999996" header="0.31496062000000002" footer="0.31496062000000002"/>
      <pageSetup paperSize="9" orientation="portrait" horizontalDpi="0" verticalDpi="0" r:id="rId1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workbookViewId="0">
      <selection sqref="A1:D1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>
      <c r="A1" s="158"/>
      <c r="B1" s="158"/>
      <c r="C1" s="158"/>
      <c r="D1" s="158"/>
    </row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133</v>
      </c>
      <c r="D8" s="267"/>
    </row>
    <row r="9" spans="1:4" ht="25.5" x14ac:dyDescent="0.25">
      <c r="A9" s="93" t="s">
        <v>8</v>
      </c>
      <c r="B9" s="94" t="s">
        <v>9</v>
      </c>
      <c r="C9" s="276" t="s">
        <v>136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16</v>
      </c>
      <c r="C12" s="278">
        <v>1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2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0">
        <f>(7/12)*(20%)</f>
        <v>0.11666666666666668</v>
      </c>
      <c r="D30" s="145">
        <f>C30*(D28+D29)</f>
        <v>202.04275000000004</v>
      </c>
    </row>
    <row r="31" spans="1:4" ht="25.5" x14ac:dyDescent="0.25">
      <c r="A31" s="91" t="s">
        <v>10</v>
      </c>
      <c r="B31" s="99" t="s">
        <v>127</v>
      </c>
      <c r="C31" s="13">
        <f>1/12*1.2</f>
        <v>9.9999999999999992E-2</v>
      </c>
      <c r="D31" s="145">
        <f>(D28+D29)*C31</f>
        <v>173.17949999999999</v>
      </c>
    </row>
    <row r="32" spans="1:4" x14ac:dyDescent="0.25">
      <c r="A32" s="91" t="s">
        <v>13</v>
      </c>
      <c r="B32" s="152" t="s">
        <v>185</v>
      </c>
      <c r="C32" s="151">
        <f>D32/D21</f>
        <v>2.5980070083223832E-2</v>
      </c>
      <c r="D32" s="146">
        <f>((D29+D28+D30+D31)/15.22)*3/12</f>
        <v>34.60935036136663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00">
        <f>SUM(D28:D33)</f>
        <v>2141.6266003613669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178.46888336344725</v>
      </c>
    </row>
    <row r="40" spans="1:4" x14ac:dyDescent="0.25">
      <c r="A40" s="103" t="s">
        <v>6</v>
      </c>
      <c r="B40" s="104" t="s">
        <v>41</v>
      </c>
      <c r="C40" s="19">
        <f>D40/D34</f>
        <v>2.777777777777778E-2</v>
      </c>
      <c r="D40" s="105">
        <f>D34/12/3</f>
        <v>59.489627787815749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237.958511151263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475.91702230252599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59.489627787815749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71.38755334537889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35.693776672689445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23.795851115126297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14.277510669075779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4.7591702230252597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190.36680892101037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875.68732103664786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115</v>
      </c>
      <c r="C55" s="31">
        <v>3.3</v>
      </c>
      <c r="D55" s="114">
        <f>(15.22*2*C55)-(D28*50%*6%)</f>
        <v>60.487499999999997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68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461.72899999999998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237.958511151263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875.68732103664786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461.72899999999998</v>
      </c>
    </row>
    <row r="68" spans="1:5" x14ac:dyDescent="0.25">
      <c r="A68" s="235" t="s">
        <v>42</v>
      </c>
      <c r="B68" s="252"/>
      <c r="C68" s="236"/>
      <c r="D68" s="107">
        <f>SUM(D65:D67)</f>
        <v>1575.3748321879109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132.2454425723144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10.579635405785153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5.8775752254361953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3.427197456856065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1.261208664123032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0.15231988697138066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153.54337921148624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351.25194166728932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85.910612641841936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1.2424448845752052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3.568642316443424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4.5050350341124271E-2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442.01869186049095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17.593385508003472</v>
      </c>
      <c r="D93" s="129">
        <f>C93*15</f>
        <v>263.9007826200521</v>
      </c>
    </row>
    <row r="94" spans="1:4" x14ac:dyDescent="0.25">
      <c r="A94" s="235" t="s">
        <v>42</v>
      </c>
      <c r="B94" s="236"/>
      <c r="C94" s="130">
        <f>D93/(D34+D68+D79)</f>
        <v>6.8181818181818191E-2</v>
      </c>
      <c r="D94" s="131">
        <f>D93</f>
        <v>263.9007826200521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442.01869186049095</v>
      </c>
    </row>
    <row r="98" spans="1:6" x14ac:dyDescent="0.25">
      <c r="A98" s="127" t="s">
        <v>77</v>
      </c>
      <c r="B98" s="128" t="s">
        <v>78</v>
      </c>
      <c r="C98" s="132">
        <f>C94</f>
        <v>6.8181818181818191E-2</v>
      </c>
      <c r="D98" s="127">
        <f>D94</f>
        <v>263.9007826200521</v>
      </c>
    </row>
    <row r="99" spans="1:6" x14ac:dyDescent="0.25">
      <c r="A99" s="235" t="s">
        <v>80</v>
      </c>
      <c r="B99" s="236"/>
      <c r="C99" s="133"/>
      <c r="D99" s="108">
        <f>D97+D98</f>
        <v>705.91947448054304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84</v>
      </c>
      <c r="C105" s="249"/>
      <c r="D105" s="86">
        <f>INSUMOS!M21</f>
        <v>20.508333333333336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73.50833333333334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4649.9726195746398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278.99835717447837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4928.9709767491186</v>
      </c>
    </row>
    <row r="116" spans="1:4" ht="15.75" x14ac:dyDescent="0.25">
      <c r="A116" s="113" t="s">
        <v>6</v>
      </c>
      <c r="B116" s="136" t="s">
        <v>91</v>
      </c>
      <c r="C116" s="72">
        <v>7.3654232792890309E-2</v>
      </c>
      <c r="D116" s="137">
        <f>C116*D115</f>
        <v>363.03957575087952</v>
      </c>
    </row>
    <row r="117" spans="1:4" x14ac:dyDescent="0.25">
      <c r="A117" s="227" t="s">
        <v>90</v>
      </c>
      <c r="B117" s="228"/>
      <c r="C117" s="228"/>
      <c r="D117" s="137">
        <f>D116+D115</f>
        <v>5292.0105524999981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37.655247499999987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173.79344999999992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289.6557499999999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501.10444749999982</v>
      </c>
    </row>
    <row r="123" spans="1:4" x14ac:dyDescent="0.25">
      <c r="A123" s="235" t="s">
        <v>97</v>
      </c>
      <c r="B123" s="236"/>
      <c r="C123" s="130">
        <f>SUM(C114+C116+C122)</f>
        <v>0.22015423279289029</v>
      </c>
      <c r="D123" s="131">
        <f>SUM(D122+D114+D116)</f>
        <v>1143.1423804253577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2141.6266003613669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1575.3748321879109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153.54337921148624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705.91947448054304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73.50833333333334</v>
      </c>
    </row>
    <row r="132" spans="1:4" x14ac:dyDescent="0.25">
      <c r="A132" s="221" t="s">
        <v>105</v>
      </c>
      <c r="B132" s="222"/>
      <c r="C132" s="223"/>
      <c r="D132" s="105">
        <f>SUM(D127:D131)</f>
        <v>4649.9726195746398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1143.1423804253577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5793.114999999998</v>
      </c>
    </row>
    <row r="135" spans="1:4" x14ac:dyDescent="0.25">
      <c r="A135" s="224" t="s">
        <v>122</v>
      </c>
      <c r="B135" s="225"/>
      <c r="C135" s="226"/>
      <c r="D135" s="143">
        <f>D134*2</f>
        <v>11586.229999999996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wUaOwuFLSJGjHJbUBaou8hPjwsORcb8mFQ+Wze02KSm43vSQ6jvs/3eIfOqKaWMWPWA02jndaqUDlswzrd6/lg==" saltValue="6H1ciwSTujGZCfhnEvVsgg==" spinCount="100000" sheet="1" objects="1" scenarios="1"/>
  <customSheetViews>
    <customSheetView guid="{5814B4A8-EA6A-43F4-B910-A8CE90082F1D}" hiddenRows="1" hiddenColumns="1" topLeftCell="A91">
      <selection activeCell="D105" sqref="D105:D106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workbookViewId="0">
      <selection activeCell="C19" sqref="C19:D19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>
      <c r="A1" s="158"/>
      <c r="B1" s="158"/>
      <c r="C1" s="158"/>
      <c r="D1" s="158"/>
    </row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134</v>
      </c>
      <c r="D8" s="267"/>
    </row>
    <row r="9" spans="1:4" ht="25.5" x14ac:dyDescent="0.25">
      <c r="A9" s="93" t="s">
        <v>8</v>
      </c>
      <c r="B9" s="94" t="s">
        <v>9</v>
      </c>
      <c r="C9" s="276" t="s">
        <v>136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130</v>
      </c>
      <c r="C12" s="278">
        <v>3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6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0">
        <f>(7/12)*(20%)</f>
        <v>0.11666666666666668</v>
      </c>
      <c r="D30" s="145">
        <f>C30*(D28+D29)</f>
        <v>202.04275000000004</v>
      </c>
    </row>
    <row r="31" spans="1:4" ht="25.5" x14ac:dyDescent="0.25">
      <c r="A31" s="91" t="s">
        <v>10</v>
      </c>
      <c r="B31" s="99" t="s">
        <v>127</v>
      </c>
      <c r="C31" s="13">
        <f>1/12*1.2</f>
        <v>9.9999999999999992E-2</v>
      </c>
      <c r="D31" s="145">
        <f>(D28+D29)*C31</f>
        <v>173.17949999999999</v>
      </c>
    </row>
    <row r="32" spans="1:4" x14ac:dyDescent="0.25">
      <c r="A32" s="91" t="s">
        <v>13</v>
      </c>
      <c r="B32" s="152" t="s">
        <v>185</v>
      </c>
      <c r="C32" s="151">
        <f>D32/D21</f>
        <v>2.5980070083223832E-2</v>
      </c>
      <c r="D32" s="146">
        <f>((D29+D28+D30+D31)/15.22)*3/12</f>
        <v>34.60935036136663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00">
        <f>SUM(D28:D33)</f>
        <v>2141.6266003613669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178.46888336344725</v>
      </c>
    </row>
    <row r="40" spans="1:4" x14ac:dyDescent="0.25">
      <c r="A40" s="103" t="s">
        <v>6</v>
      </c>
      <c r="B40" s="104" t="s">
        <v>41</v>
      </c>
      <c r="C40" s="19">
        <f>D40/D34</f>
        <v>2.777777777777778E-2</v>
      </c>
      <c r="D40" s="105">
        <f>D34/12/3</f>
        <v>59.489627787815749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237.958511151263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475.91702230252599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59.489627787815749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71.38755334537889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35.693776672689445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23.795851115126297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14.277510669075779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4.7591702230252597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190.36680892101037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875.68732103664786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115</v>
      </c>
      <c r="C55" s="31">
        <v>3.75</v>
      </c>
      <c r="D55" s="114">
        <f>(15.22*2*C55)-(D28*50%*6%)</f>
        <v>74.185500000000005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68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475.42699999999996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237.958511151263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875.68732103664786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475.42699999999996</v>
      </c>
    </row>
    <row r="68" spans="1:5" x14ac:dyDescent="0.25">
      <c r="A68" s="235" t="s">
        <v>42</v>
      </c>
      <c r="B68" s="252"/>
      <c r="C68" s="236"/>
      <c r="D68" s="107">
        <f>SUM(D65:D67)</f>
        <v>1589.0728321879108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132.2454425723144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10.579635405785153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5.8775752254361953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3.427197456856065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1.261208664123032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0.15231988697138066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153.54337921148624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352.49503516728936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86.214653449841933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1.2468419425752053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3.5812718724434243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4.5050350341124271E-2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443.58285278249105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17.655649144367111</v>
      </c>
      <c r="D93" s="129">
        <f>C93*15</f>
        <v>264.83473716550668</v>
      </c>
    </row>
    <row r="94" spans="1:4" x14ac:dyDescent="0.25">
      <c r="A94" s="235" t="s">
        <v>42</v>
      </c>
      <c r="B94" s="236"/>
      <c r="C94" s="130">
        <f>D93/(D34+D68+D79)</f>
        <v>6.8181818181818191E-2</v>
      </c>
      <c r="D94" s="131">
        <f>D93</f>
        <v>264.83473716550668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443.58285278249105</v>
      </c>
    </row>
    <row r="98" spans="1:6" x14ac:dyDescent="0.25">
      <c r="A98" s="127" t="s">
        <v>77</v>
      </c>
      <c r="B98" s="128" t="s">
        <v>78</v>
      </c>
      <c r="C98" s="132">
        <f>C94</f>
        <v>6.8181818181818191E-2</v>
      </c>
      <c r="D98" s="127">
        <f>D94</f>
        <v>264.83473716550668</v>
      </c>
    </row>
    <row r="99" spans="1:6" x14ac:dyDescent="0.25">
      <c r="A99" s="235" t="s">
        <v>80</v>
      </c>
      <c r="B99" s="236"/>
      <c r="C99" s="133"/>
      <c r="D99" s="108">
        <f>D97+D98</f>
        <v>708.41758994799773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84</v>
      </c>
      <c r="C105" s="249"/>
      <c r="D105" s="86">
        <f>INSUMOS!M21</f>
        <v>20.508333333333336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73.50833333333334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4666.1687350420952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279.97012410252569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4946.1388591446212</v>
      </c>
    </row>
    <row r="116" spans="1:4" ht="15.75" x14ac:dyDescent="0.25">
      <c r="A116" s="113" t="s">
        <v>6</v>
      </c>
      <c r="B116" s="136" t="s">
        <v>91</v>
      </c>
      <c r="C116" s="72">
        <v>6.992761489417508E-2</v>
      </c>
      <c r="D116" s="137">
        <f>C116*D115</f>
        <v>345.87169335537953</v>
      </c>
    </row>
    <row r="117" spans="1:4" x14ac:dyDescent="0.25">
      <c r="A117" s="227" t="s">
        <v>90</v>
      </c>
      <c r="B117" s="228"/>
      <c r="C117" s="228"/>
      <c r="D117" s="137">
        <f>D116+D115</f>
        <v>5292.0105525000008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37.655247500000002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173.79345000000001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289.65575000000007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501.10444750000011</v>
      </c>
    </row>
    <row r="123" spans="1:4" x14ac:dyDescent="0.25">
      <c r="A123" s="235" t="s">
        <v>97</v>
      </c>
      <c r="B123" s="236"/>
      <c r="C123" s="130">
        <f>SUM(C114+C116+C122)</f>
        <v>0.21642761489417509</v>
      </c>
      <c r="D123" s="131">
        <f>SUM(D122+D114+D116)</f>
        <v>1126.9462649579054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2141.6266003613669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1589.0728321879108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153.54337921148624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708.41758994799773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73.50833333333334</v>
      </c>
    </row>
    <row r="132" spans="1:4" x14ac:dyDescent="0.25">
      <c r="A132" s="221" t="s">
        <v>105</v>
      </c>
      <c r="B132" s="222"/>
      <c r="C132" s="223"/>
      <c r="D132" s="105">
        <f>SUM(D127:D131)</f>
        <v>4666.1687350420952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1126.9462649579054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5793.1150000000007</v>
      </c>
    </row>
    <row r="135" spans="1:4" x14ac:dyDescent="0.25">
      <c r="A135" s="224" t="s">
        <v>122</v>
      </c>
      <c r="B135" s="225"/>
      <c r="C135" s="226"/>
      <c r="D135" s="143">
        <f>D134*2</f>
        <v>11586.230000000001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  <row r="145" hidden="1" x14ac:dyDescent="0.25"/>
  </sheetData>
  <sheetProtection algorithmName="SHA-512" hashValue="DD3nQVnjav0TdB7oqlBW9ctz8eTxUCLvqqS4pPadGMP1vqPOnHdxVMb6i62TBOir6Vaj5SZR5WE4MstbiSdR/g==" saltValue="iYuccerWuW9EHsILP/uVCg==" spinCount="100000" sheet="1" objects="1" scenarios="1"/>
  <customSheetViews>
    <customSheetView guid="{5814B4A8-EA6A-43F4-B910-A8CE90082F1D}" showPageBreaks="1" hiddenRows="1" hiddenColumns="1" topLeftCell="A92">
      <selection activeCell="F105" sqref="F105"/>
      <pageMargins left="0.51181102362204722" right="0.51181102362204722" top="6.6929133858267722" bottom="0.78740157480314965" header="0" footer="0.31496062992125984"/>
      <printOptions horizontalCentered="1"/>
      <pageSetup paperSize="9" scale="65" orientation="portrait" horizontalDpi="0" verticalDpi="0" r:id="rId1"/>
    </customSheetView>
  </customSheetViews>
  <mergeCells count="83">
    <mergeCell ref="B131:C131"/>
    <mergeCell ref="A132:C132"/>
    <mergeCell ref="B133:C133"/>
    <mergeCell ref="A134:C134"/>
    <mergeCell ref="B130:C130"/>
    <mergeCell ref="B127:C127"/>
    <mergeCell ref="B128:C128"/>
    <mergeCell ref="A115:C115"/>
    <mergeCell ref="A117:C117"/>
    <mergeCell ref="B118:D118"/>
    <mergeCell ref="A122:B122"/>
    <mergeCell ref="A123:B123"/>
    <mergeCell ref="B129:C12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A124:D124"/>
    <mergeCell ref="A125:C125"/>
    <mergeCell ref="A126:D126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5:D5"/>
    <mergeCell ref="A135:C13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51181102362204722" right="0.51181102362204722" top="6.6929133858267722" bottom="0.78740157480314965" header="0" footer="0.31496062992125984"/>
  <pageSetup paperSize="9" scale="65" orientation="portrait" horizontalDpi="0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zoomScaleNormal="100" workbookViewId="0">
      <selection activeCell="B9" sqref="B9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>
      <c r="A1" s="158"/>
      <c r="B1" s="158"/>
      <c r="C1" s="158"/>
      <c r="D1" s="158"/>
    </row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132</v>
      </c>
      <c r="D8" s="267"/>
    </row>
    <row r="9" spans="1:4" ht="25.5" x14ac:dyDescent="0.25">
      <c r="A9" s="93" t="s">
        <v>8</v>
      </c>
      <c r="B9" s="94" t="s">
        <v>9</v>
      </c>
      <c r="C9" s="276" t="s">
        <v>136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16</v>
      </c>
      <c r="C12" s="278">
        <v>1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2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0">
        <f>(7/12)*(20%)</f>
        <v>0.11666666666666668</v>
      </c>
      <c r="D30" s="145">
        <f>C30*(D28+D29)</f>
        <v>202.04275000000004</v>
      </c>
    </row>
    <row r="31" spans="1:4" ht="25.5" x14ac:dyDescent="0.25">
      <c r="A31" s="91" t="s">
        <v>10</v>
      </c>
      <c r="B31" s="99" t="s">
        <v>127</v>
      </c>
      <c r="C31" s="13">
        <f>1/12*1.2</f>
        <v>9.9999999999999992E-2</v>
      </c>
      <c r="D31" s="145">
        <f>(D28+D29)*C31</f>
        <v>173.17949999999999</v>
      </c>
    </row>
    <row r="32" spans="1:4" x14ac:dyDescent="0.25">
      <c r="A32" s="91" t="s">
        <v>13</v>
      </c>
      <c r="B32" s="152" t="s">
        <v>185</v>
      </c>
      <c r="C32" s="151">
        <f>D32/D21</f>
        <v>2.5980070083223832E-2</v>
      </c>
      <c r="D32" s="146">
        <f>((D29+D28+D30+D31)/15.22)*3/12</f>
        <v>34.60935036136663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00">
        <f>SUM(D28:D33)</f>
        <v>2141.6266003613669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178.46888336344725</v>
      </c>
    </row>
    <row r="40" spans="1:4" x14ac:dyDescent="0.25">
      <c r="A40" s="103" t="s">
        <v>6</v>
      </c>
      <c r="B40" s="104" t="s">
        <v>41</v>
      </c>
      <c r="C40" s="19">
        <f>D40/D34</f>
        <v>2.777777777777778E-2</v>
      </c>
      <c r="D40" s="105">
        <f>D34/12/3</f>
        <v>59.489627787815749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237.958511151263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475.91702230252599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59.489627787815749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71.38755334537889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35.693776672689445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23.795851115126297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14.277510669075779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4.7591702230252597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190.36680892101037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875.68732103664786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ht="25.5" x14ac:dyDescent="0.25">
      <c r="A55" s="113" t="s">
        <v>31</v>
      </c>
      <c r="B55" s="111" t="s">
        <v>183</v>
      </c>
      <c r="C55" s="31" t="s">
        <v>137</v>
      </c>
      <c r="D55" s="157">
        <f>80.09</f>
        <v>80.09</v>
      </c>
      <c r="E55" s="116"/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119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481.33150000000001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237.958511151263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875.68732103664786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481.33150000000001</v>
      </c>
    </row>
    <row r="68" spans="1:5" x14ac:dyDescent="0.25">
      <c r="A68" s="235" t="s">
        <v>42</v>
      </c>
      <c r="B68" s="252"/>
      <c r="C68" s="236"/>
      <c r="D68" s="107">
        <f>SUM(D65:D67)</f>
        <v>1594.9773321879109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132.2454425723144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10.579635405785153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5.8775752254361953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3.427197456856065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1.261208664123032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0.15231988697138066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153.54337921148624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353.03086854228928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86.345709731841936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1.2487372870752051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3.5867158214434243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4.5050350341124271E-2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444.25708173299097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17.682487780730746</v>
      </c>
      <c r="D93" s="129">
        <f>C93*15</f>
        <v>265.23731671096118</v>
      </c>
    </row>
    <row r="94" spans="1:4" x14ac:dyDescent="0.25">
      <c r="A94" s="235" t="s">
        <v>42</v>
      </c>
      <c r="B94" s="236"/>
      <c r="C94" s="130">
        <f>D93/(D34+D68+D79)</f>
        <v>6.8181818181818191E-2</v>
      </c>
      <c r="D94" s="131">
        <f>D93</f>
        <v>265.23731671096118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444.25708173299097</v>
      </c>
    </row>
    <row r="98" spans="1:6" x14ac:dyDescent="0.25">
      <c r="A98" s="127" t="s">
        <v>77</v>
      </c>
      <c r="B98" s="128" t="s">
        <v>78</v>
      </c>
      <c r="C98" s="132">
        <f>C94</f>
        <v>6.8181818181818191E-2</v>
      </c>
      <c r="D98" s="127">
        <f>D94</f>
        <v>265.23731671096118</v>
      </c>
    </row>
    <row r="99" spans="1:6" x14ac:dyDescent="0.25">
      <c r="A99" s="235" t="s">
        <v>80</v>
      </c>
      <c r="B99" s="236"/>
      <c r="C99" s="133"/>
      <c r="D99" s="108">
        <f>D97+D98</f>
        <v>709.49439844395215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84</v>
      </c>
      <c r="C105" s="249"/>
      <c r="D105" s="86">
        <f>INSUMOS!M21</f>
        <v>20.508333333333336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73.50833333333334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4673.1500435380494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280.38900261228298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4953.5390461503321</v>
      </c>
    </row>
    <row r="116" spans="1:4" ht="15.75" x14ac:dyDescent="0.25">
      <c r="A116" s="113" t="s">
        <v>6</v>
      </c>
      <c r="B116" s="136" t="s">
        <v>91</v>
      </c>
      <c r="C116" s="72">
        <v>6.8329229505662406E-2</v>
      </c>
      <c r="D116" s="137">
        <f>C116*D115</f>
        <v>338.47150634966607</v>
      </c>
    </row>
    <row r="117" spans="1:4" x14ac:dyDescent="0.25">
      <c r="A117" s="227" t="s">
        <v>90</v>
      </c>
      <c r="B117" s="228"/>
      <c r="C117" s="228"/>
      <c r="D117" s="137">
        <f>D116+D115</f>
        <v>5292.0105524999981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37.655247499999987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173.79344999999992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289.6557499999999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501.10444749999982</v>
      </c>
    </row>
    <row r="123" spans="1:4" x14ac:dyDescent="0.25">
      <c r="A123" s="235" t="s">
        <v>97</v>
      </c>
      <c r="B123" s="236"/>
      <c r="C123" s="130">
        <f>SUM(C114+C116+C122)</f>
        <v>0.21482922950566238</v>
      </c>
      <c r="D123" s="131">
        <f>SUM(D122+D114+D116)</f>
        <v>1119.9649564619488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2141.6266003613669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1594.9773321879109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153.54337921148624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709.49439844395215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73.50833333333334</v>
      </c>
    </row>
    <row r="132" spans="1:4" x14ac:dyDescent="0.25">
      <c r="A132" s="221" t="s">
        <v>105</v>
      </c>
      <c r="B132" s="222"/>
      <c r="C132" s="223"/>
      <c r="D132" s="105">
        <f>SUM(D127:D131)</f>
        <v>4673.1500435380494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1119.9649564619488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5793.114999999998</v>
      </c>
    </row>
    <row r="135" spans="1:4" x14ac:dyDescent="0.25">
      <c r="A135" s="224" t="s">
        <v>122</v>
      </c>
      <c r="B135" s="225"/>
      <c r="C135" s="226"/>
      <c r="D135" s="143">
        <f>D134*2</f>
        <v>11586.229999999996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y0obEEuUuAOKh1xJN/4AYI7L+AAXLSjxPGaxerdnK4U/A1UxmANlvZ2M8KI6pNtb4Hyit3gR3csVOkhc0t6IbQ==" saltValue="laUP0Wknk3SDqK830mT4xw==" spinCount="100000" sheet="1" objects="1" scenarios="1"/>
  <customSheetViews>
    <customSheetView guid="{5814B4A8-EA6A-43F4-B910-A8CE90082F1D}" hiddenRows="1" hiddenColumns="1" topLeftCell="A44">
      <selection activeCell="B58" sqref="B58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workbookViewId="0">
      <selection activeCell="B13" sqref="B13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>
      <c r="A1" s="158"/>
      <c r="B1" s="158"/>
      <c r="C1" s="158"/>
      <c r="D1" s="158"/>
    </row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112</v>
      </c>
      <c r="D8" s="267"/>
    </row>
    <row r="9" spans="1:4" ht="25.5" x14ac:dyDescent="0.25">
      <c r="A9" s="93" t="s">
        <v>8</v>
      </c>
      <c r="B9" s="94" t="s">
        <v>9</v>
      </c>
      <c r="C9" s="276" t="s">
        <v>109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16</v>
      </c>
      <c r="C12" s="289">
        <v>1</v>
      </c>
      <c r="D12" s="290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2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9">
        <f>(7/12)*(20%)</f>
        <v>0.11666666666666668</v>
      </c>
      <c r="D30" s="145">
        <v>0</v>
      </c>
    </row>
    <row r="31" spans="1:4" ht="25.5" x14ac:dyDescent="0.25">
      <c r="A31" s="91" t="s">
        <v>10</v>
      </c>
      <c r="B31" s="99" t="s">
        <v>127</v>
      </c>
      <c r="C31" s="160">
        <f>1/12*1.2</f>
        <v>9.9999999999999992E-2</v>
      </c>
      <c r="D31" s="145">
        <v>0</v>
      </c>
    </row>
    <row r="32" spans="1:4" x14ac:dyDescent="0.25">
      <c r="A32" s="91" t="s">
        <v>13</v>
      </c>
      <c r="B32" s="152" t="s">
        <v>185</v>
      </c>
      <c r="C32" s="151">
        <f>D32/D21</f>
        <v>2.1353482260183968E-2</v>
      </c>
      <c r="D32" s="146">
        <f>((D29+D28+D30+D31)/15.22)*3/12</f>
        <v>28.446041392904075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00">
        <f>SUM(D28:D33)</f>
        <v>1760.2410413929042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146.68675344940868</v>
      </c>
    </row>
    <row r="40" spans="1:4" x14ac:dyDescent="0.25">
      <c r="A40" s="103" t="s">
        <v>6</v>
      </c>
      <c r="B40" s="104" t="s">
        <v>41</v>
      </c>
      <c r="C40" s="19">
        <f>D40/D34</f>
        <v>2.7777777777777776E-2</v>
      </c>
      <c r="D40" s="105">
        <f>D34/12/3</f>
        <v>48.895584483136226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195.5823379325449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391.16467586508986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48.895584483136233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58.674701379763476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29.337350689881738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19.558233793254491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11.734940275952695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3.9116467586508983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156.46587034603593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719.74300359176539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115</v>
      </c>
      <c r="C55" s="31">
        <v>3.95</v>
      </c>
      <c r="D55" s="114">
        <f>(15.22*2*C55)-(D28*50%*6%)</f>
        <v>80.273500000000013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68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481.51499999999999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195.5823379325449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719.74300359176539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481.51499999999999</v>
      </c>
    </row>
    <row r="68" spans="1:5" x14ac:dyDescent="0.25">
      <c r="A68" s="235" t="s">
        <v>42</v>
      </c>
      <c r="B68" s="252"/>
      <c r="C68" s="236"/>
      <c r="D68" s="107">
        <f>SUM(D65:D67)</f>
        <v>1396.8403415243101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108.69488430601183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8.6955907444809473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4.8308837469338597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2.8168746220734779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1.0366098609230401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0.12519442764771013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126.20003770807088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297.95778892174462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72.875714412198846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1.0539333360207166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3.0271854698165126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3.902839625297886E-2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374.95365053603365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14.924006457387661</v>
      </c>
      <c r="D93" s="129">
        <f>C93*15</f>
        <v>223.86009686081491</v>
      </c>
    </row>
    <row r="94" spans="1:4" x14ac:dyDescent="0.25">
      <c r="A94" s="235" t="s">
        <v>42</v>
      </c>
      <c r="B94" s="236"/>
      <c r="C94" s="130">
        <f>D93/(D34+D68+D79)</f>
        <v>6.8181818181818191E-2</v>
      </c>
      <c r="D94" s="131">
        <f>D93</f>
        <v>223.86009686081491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374.95365053603365</v>
      </c>
    </row>
    <row r="98" spans="1:6" x14ac:dyDescent="0.25">
      <c r="A98" s="127" t="s">
        <v>77</v>
      </c>
      <c r="B98" s="128" t="s">
        <v>78</v>
      </c>
      <c r="C98" s="132">
        <f>C94</f>
        <v>6.8181818181818191E-2</v>
      </c>
      <c r="D98" s="127">
        <f>D94</f>
        <v>223.86009686081491</v>
      </c>
    </row>
    <row r="99" spans="1:6" x14ac:dyDescent="0.25">
      <c r="A99" s="235" t="s">
        <v>80</v>
      </c>
      <c r="B99" s="236"/>
      <c r="C99" s="133"/>
      <c r="D99" s="108">
        <f>D97+D98</f>
        <v>598.81374739684861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186</v>
      </c>
      <c r="C105" s="249"/>
      <c r="D105" s="86">
        <v>0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53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3935.0951680221337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236.10571008132803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4171.2008781034619</v>
      </c>
    </row>
    <row r="116" spans="1:4" ht="15.75" x14ac:dyDescent="0.25">
      <c r="A116" s="113" t="s">
        <v>6</v>
      </c>
      <c r="B116" s="136" t="s">
        <v>91</v>
      </c>
      <c r="C116" s="72">
        <v>0.11775500958847737</v>
      </c>
      <c r="D116" s="137">
        <f>C116*D115</f>
        <v>491.17979939653839</v>
      </c>
    </row>
    <row r="117" spans="1:4" x14ac:dyDescent="0.25">
      <c r="A117" s="227" t="s">
        <v>90</v>
      </c>
      <c r="B117" s="228"/>
      <c r="C117" s="228"/>
      <c r="D117" s="137">
        <f>D116+D115</f>
        <v>4662.3806775000003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33.175122500000001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153.11595000000003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255.19325000000003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441.48432250000008</v>
      </c>
    </row>
    <row r="123" spans="1:4" x14ac:dyDescent="0.25">
      <c r="A123" s="235" t="s">
        <v>97</v>
      </c>
      <c r="B123" s="236"/>
      <c r="C123" s="130">
        <f>SUM(C114+C116+C122)</f>
        <v>0.26425500958847736</v>
      </c>
      <c r="D123" s="131">
        <f>SUM(D122+D114+D116)</f>
        <v>1168.7698319778665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1760.2410413929042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1396.8403415243101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126.20003770807088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598.81374739684861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53</v>
      </c>
    </row>
    <row r="132" spans="1:4" x14ac:dyDescent="0.25">
      <c r="A132" s="221" t="s">
        <v>105</v>
      </c>
      <c r="B132" s="222"/>
      <c r="C132" s="223"/>
      <c r="D132" s="105">
        <f>SUM(D127:D131)</f>
        <v>3935.0951680221337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1168.7698319778665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5103.8649999999998</v>
      </c>
    </row>
    <row r="135" spans="1:4" x14ac:dyDescent="0.25">
      <c r="A135" s="224" t="s">
        <v>122</v>
      </c>
      <c r="B135" s="225"/>
      <c r="C135" s="226"/>
      <c r="D135" s="143">
        <f>D134*2</f>
        <v>10207.73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+6Q30eQb2O/HlzX+IDo/SIix+FEl4pWckFr1tNcSDAyjml2Z5noyPpP0S+G/bJ3/p3WHA4ksa6iZZpUM2S8isQ==" saltValue="GKkOOVRRs8AqO7Ur4OSi+A==" spinCount="100000" sheet="1" objects="1" scenarios="1"/>
  <customSheetViews>
    <customSheetView guid="{5814B4A8-EA6A-43F4-B910-A8CE90082F1D}" hiddenRows="1" hiddenColumns="1" topLeftCell="A130">
      <selection activeCell="B106" sqref="B106:D106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workbookViewId="0">
      <selection activeCell="C12" sqref="C12:D12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>
      <c r="A1" s="158"/>
      <c r="B1" s="158"/>
      <c r="C1" s="158"/>
      <c r="D1" s="158"/>
    </row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133</v>
      </c>
      <c r="D8" s="267"/>
    </row>
    <row r="9" spans="1:4" ht="25.5" x14ac:dyDescent="0.25">
      <c r="A9" s="93" t="s">
        <v>8</v>
      </c>
      <c r="B9" s="94" t="s">
        <v>9</v>
      </c>
      <c r="C9" s="276" t="s">
        <v>136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16</v>
      </c>
      <c r="C12" s="278">
        <v>1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1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9">
        <f>(7/12)*(20%)</f>
        <v>0.11666666666666668</v>
      </c>
      <c r="D30" s="145">
        <v>0</v>
      </c>
    </row>
    <row r="31" spans="1:4" ht="25.5" x14ac:dyDescent="0.25">
      <c r="A31" s="91" t="s">
        <v>10</v>
      </c>
      <c r="B31" s="99" t="s">
        <v>127</v>
      </c>
      <c r="C31" s="160">
        <f>1/12*1.2</f>
        <v>9.9999999999999992E-2</v>
      </c>
      <c r="D31" s="145">
        <v>0</v>
      </c>
    </row>
    <row r="32" spans="1:4" x14ac:dyDescent="0.25">
      <c r="A32" s="91" t="s">
        <v>13</v>
      </c>
      <c r="B32" s="152" t="s">
        <v>185</v>
      </c>
      <c r="C32" s="151">
        <f>D32/D21</f>
        <v>2.1353482260183968E-2</v>
      </c>
      <c r="D32" s="146">
        <f>((D29+D28+D30+D31)/15.22)*3/12</f>
        <v>28.446041392904075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00">
        <f>SUM(D28:D33)</f>
        <v>1760.2410413929042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146.68675344940868</v>
      </c>
    </row>
    <row r="40" spans="1:4" x14ac:dyDescent="0.25">
      <c r="A40" s="103" t="s">
        <v>6</v>
      </c>
      <c r="B40" s="104" t="s">
        <v>41</v>
      </c>
      <c r="C40" s="19">
        <f>D40/D34</f>
        <v>2.7777777777777776E-2</v>
      </c>
      <c r="D40" s="105">
        <f>D34/12/3</f>
        <v>48.895584483136226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195.5823379325449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391.16467586508986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48.895584483136233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58.674701379763476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29.337350689881738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19.558233793254491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11.734940275952695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3.9116467586508983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156.46587034603593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719.74300359176539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115</v>
      </c>
      <c r="C55" s="31">
        <v>3.3</v>
      </c>
      <c r="D55" s="114">
        <f>(15.22*2*C55)-(D28*50%*6%)</f>
        <v>60.487499999999997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68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461.72899999999998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195.5823379325449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719.74300359176539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461.72899999999998</v>
      </c>
    </row>
    <row r="68" spans="1:5" x14ac:dyDescent="0.25">
      <c r="A68" s="235" t="s">
        <v>42</v>
      </c>
      <c r="B68" s="252"/>
      <c r="C68" s="236"/>
      <c r="D68" s="107">
        <f>SUM(D65:D67)</f>
        <v>1377.0543415243103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108.69488430601183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8.6955907444809473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4.8308837469338597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2.8168746220734779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1.0366098609230401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0.12519442764771013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126.20003770807088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296.16220942174465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72.436544356198851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1.0475820300207166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3.0089427778165132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3.902839625297886E-2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372.69430698203371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14.834070093751297</v>
      </c>
      <c r="D93" s="129">
        <f>C93*15</f>
        <v>222.51105140626944</v>
      </c>
    </row>
    <row r="94" spans="1:4" x14ac:dyDescent="0.25">
      <c r="A94" s="235" t="s">
        <v>42</v>
      </c>
      <c r="B94" s="236"/>
      <c r="C94" s="130">
        <f>D93/(D34+D68+D79)</f>
        <v>6.8181818181818177E-2</v>
      </c>
      <c r="D94" s="131">
        <f>D93</f>
        <v>222.51105140626944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372.69430698203371</v>
      </c>
    </row>
    <row r="98" spans="1:6" x14ac:dyDescent="0.25">
      <c r="A98" s="127" t="s">
        <v>77</v>
      </c>
      <c r="B98" s="128" t="s">
        <v>78</v>
      </c>
      <c r="C98" s="132">
        <f>C94</f>
        <v>6.8181818181818177E-2</v>
      </c>
      <c r="D98" s="127">
        <f>D94</f>
        <v>222.51105140626944</v>
      </c>
    </row>
    <row r="99" spans="1:6" x14ac:dyDescent="0.25">
      <c r="A99" s="235" t="s">
        <v>80</v>
      </c>
      <c r="B99" s="236"/>
      <c r="C99" s="133"/>
      <c r="D99" s="108">
        <f>D97+D98</f>
        <v>595.20535838830313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186</v>
      </c>
      <c r="C105" s="249"/>
      <c r="D105" s="86">
        <v>0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53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3911.7007790135885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234.70204674081529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4146.4028257544041</v>
      </c>
    </row>
    <row r="116" spans="1:4" ht="15.75" x14ac:dyDescent="0.25">
      <c r="A116" s="113" t="s">
        <v>6</v>
      </c>
      <c r="B116" s="136" t="s">
        <v>91</v>
      </c>
      <c r="C116" s="72">
        <v>0.12443987558100267</v>
      </c>
      <c r="D116" s="137">
        <f>C116*D115</f>
        <v>515.9778517455959</v>
      </c>
    </row>
    <row r="117" spans="1:4" x14ac:dyDescent="0.25">
      <c r="A117" s="227" t="s">
        <v>90</v>
      </c>
      <c r="B117" s="228"/>
      <c r="C117" s="228"/>
      <c r="D117" s="137">
        <f>D116+D115</f>
        <v>4662.3806775000003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33.175122500000001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153.11595000000003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255.19325000000003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441.48432250000008</v>
      </c>
    </row>
    <row r="123" spans="1:4" x14ac:dyDescent="0.25">
      <c r="A123" s="235" t="s">
        <v>97</v>
      </c>
      <c r="B123" s="236"/>
      <c r="C123" s="130">
        <f>SUM(C114+C116+C122)</f>
        <v>0.27093987558100263</v>
      </c>
      <c r="D123" s="131">
        <f>SUM(D122+D114+D116)</f>
        <v>1192.1642209864112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1760.2410413929042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1377.0543415243103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126.20003770807088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595.20535838830313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53</v>
      </c>
    </row>
    <row r="132" spans="1:4" x14ac:dyDescent="0.25">
      <c r="A132" s="221" t="s">
        <v>105</v>
      </c>
      <c r="B132" s="222"/>
      <c r="C132" s="223"/>
      <c r="D132" s="105">
        <f>SUM(D127:D131)</f>
        <v>3911.7007790135885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1192.1642209864112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5103.8649999999998</v>
      </c>
    </row>
    <row r="135" spans="1:4" x14ac:dyDescent="0.25">
      <c r="A135" s="224" t="s">
        <v>122</v>
      </c>
      <c r="B135" s="225"/>
      <c r="C135" s="226"/>
      <c r="D135" s="143">
        <f>D134*2</f>
        <v>10207.73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YHI5XuxUX5hksEc3iykW18HHD11hHcx5hBSnzdn/FWFR5DmwhPGJ6alE51Cq+FxCQrhxvOTyUvs/eXP8uZEXmg==" saltValue="viRTb5PHnWjt5y9u9z+MeA==" spinCount="100000" sheet="1" objects="1" scenarios="1"/>
  <customSheetViews>
    <customSheetView guid="{5814B4A8-EA6A-43F4-B910-A8CE90082F1D}" hiddenRows="1" hiddenColumns="1" topLeftCell="A91">
      <selection activeCell="B106" sqref="B106:D106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zoomScaleNormal="100" workbookViewId="0">
      <selection activeCell="C12" sqref="C12:D12"/>
    </sheetView>
  </sheetViews>
  <sheetFormatPr defaultColWidth="0" defaultRowHeight="15" zeroHeight="1" x14ac:dyDescent="0.25"/>
  <cols>
    <col min="1" max="1" width="26.5703125" style="89" customWidth="1"/>
    <col min="2" max="2" width="54.7109375" style="89" customWidth="1"/>
    <col min="3" max="3" width="22.85546875" style="89" customWidth="1"/>
    <col min="4" max="4" width="29.85546875" style="89" customWidth="1"/>
    <col min="5" max="12" width="9.140625" style="90" customWidth="1"/>
    <col min="13" max="16384" width="9.140625" style="89" hidden="1"/>
  </cols>
  <sheetData>
    <row r="1" spans="1:4" x14ac:dyDescent="0.25">
      <c r="A1" s="158"/>
      <c r="B1" s="158"/>
      <c r="C1" s="158"/>
      <c r="D1" s="158"/>
    </row>
    <row r="2" spans="1:4" x14ac:dyDescent="0.25">
      <c r="A2" s="285" t="s">
        <v>0</v>
      </c>
      <c r="B2" s="285"/>
      <c r="C2" s="285"/>
      <c r="D2" s="285"/>
    </row>
    <row r="3" spans="1:4" x14ac:dyDescent="0.25">
      <c r="A3" s="286" t="s">
        <v>1</v>
      </c>
      <c r="B3" s="286"/>
      <c r="C3" s="287" t="s">
        <v>120</v>
      </c>
      <c r="D3" s="288"/>
    </row>
    <row r="4" spans="1:4" x14ac:dyDescent="0.25">
      <c r="A4" s="286" t="s">
        <v>2</v>
      </c>
      <c r="B4" s="286"/>
      <c r="C4" s="287" t="s">
        <v>121</v>
      </c>
      <c r="D4" s="288"/>
    </row>
    <row r="5" spans="1:4" x14ac:dyDescent="0.25">
      <c r="A5" s="273"/>
      <c r="B5" s="273"/>
      <c r="C5" s="273"/>
      <c r="D5" s="273"/>
    </row>
    <row r="6" spans="1:4" x14ac:dyDescent="0.25">
      <c r="A6" s="273" t="s">
        <v>3</v>
      </c>
      <c r="B6" s="273"/>
      <c r="C6" s="273"/>
      <c r="D6" s="273"/>
    </row>
    <row r="7" spans="1:4" x14ac:dyDescent="0.25">
      <c r="A7" s="91" t="s">
        <v>4</v>
      </c>
      <c r="B7" s="92" t="s">
        <v>5</v>
      </c>
      <c r="C7" s="274"/>
      <c r="D7" s="275"/>
    </row>
    <row r="8" spans="1:4" x14ac:dyDescent="0.25">
      <c r="A8" s="91" t="s">
        <v>6</v>
      </c>
      <c r="B8" s="92" t="s">
        <v>7</v>
      </c>
      <c r="C8" s="267" t="s">
        <v>134</v>
      </c>
      <c r="D8" s="267"/>
    </row>
    <row r="9" spans="1:4" ht="25.5" x14ac:dyDescent="0.25">
      <c r="A9" s="93" t="s">
        <v>8</v>
      </c>
      <c r="B9" s="94" t="s">
        <v>9</v>
      </c>
      <c r="C9" s="276" t="s">
        <v>136</v>
      </c>
      <c r="D9" s="277"/>
    </row>
    <row r="10" spans="1:4" x14ac:dyDescent="0.25">
      <c r="A10" s="91" t="s">
        <v>10</v>
      </c>
      <c r="B10" s="92" t="s">
        <v>11</v>
      </c>
      <c r="C10" s="263" t="s">
        <v>12</v>
      </c>
      <c r="D10" s="264"/>
    </row>
    <row r="11" spans="1:4" x14ac:dyDescent="0.25">
      <c r="A11" s="91" t="s">
        <v>13</v>
      </c>
      <c r="B11" s="92" t="s">
        <v>14</v>
      </c>
      <c r="C11" s="263" t="s">
        <v>113</v>
      </c>
      <c r="D11" s="264"/>
    </row>
    <row r="12" spans="1:4" x14ac:dyDescent="0.25">
      <c r="A12" s="91" t="s">
        <v>15</v>
      </c>
      <c r="B12" s="92" t="s">
        <v>130</v>
      </c>
      <c r="C12" s="278">
        <v>1</v>
      </c>
      <c r="D12" s="279"/>
    </row>
    <row r="13" spans="1:4" x14ac:dyDescent="0.25">
      <c r="A13" s="91" t="s">
        <v>17</v>
      </c>
      <c r="B13" s="92" t="s">
        <v>18</v>
      </c>
      <c r="C13" s="263">
        <v>20</v>
      </c>
      <c r="D13" s="264"/>
    </row>
    <row r="14" spans="1:4" x14ac:dyDescent="0.25">
      <c r="A14" s="280"/>
      <c r="B14" s="281"/>
      <c r="C14" s="281"/>
      <c r="D14" s="281"/>
    </row>
    <row r="15" spans="1:4" x14ac:dyDescent="0.25">
      <c r="A15" s="282" t="s">
        <v>19</v>
      </c>
      <c r="B15" s="283"/>
      <c r="C15" s="283"/>
      <c r="D15" s="284"/>
    </row>
    <row r="16" spans="1:4" x14ac:dyDescent="0.25">
      <c r="A16" s="267" t="s">
        <v>20</v>
      </c>
      <c r="B16" s="267"/>
      <c r="C16" s="267"/>
      <c r="D16" s="267"/>
    </row>
    <row r="17" spans="1:4" x14ac:dyDescent="0.25">
      <c r="A17" s="91">
        <v>1</v>
      </c>
      <c r="B17" s="92" t="s">
        <v>21</v>
      </c>
      <c r="C17" s="263" t="s">
        <v>22</v>
      </c>
      <c r="D17" s="264" t="s">
        <v>22</v>
      </c>
    </row>
    <row r="18" spans="1:4" x14ac:dyDescent="0.25">
      <c r="A18" s="91"/>
      <c r="B18" s="95" t="s">
        <v>114</v>
      </c>
      <c r="C18" s="263">
        <v>2</v>
      </c>
      <c r="D18" s="264">
        <v>1</v>
      </c>
    </row>
    <row r="19" spans="1:4" x14ac:dyDescent="0.25">
      <c r="A19" s="91">
        <v>2</v>
      </c>
      <c r="B19" s="96" t="s">
        <v>23</v>
      </c>
      <c r="C19" s="265" t="s">
        <v>110</v>
      </c>
      <c r="D19" s="266"/>
    </row>
    <row r="20" spans="1:4" x14ac:dyDescent="0.25">
      <c r="A20" s="267" t="s">
        <v>24</v>
      </c>
      <c r="B20" s="267"/>
      <c r="C20" s="267"/>
      <c r="D20" s="267"/>
    </row>
    <row r="21" spans="1:4" x14ac:dyDescent="0.25">
      <c r="A21" s="91">
        <v>3</v>
      </c>
      <c r="B21" s="219" t="s">
        <v>25</v>
      </c>
      <c r="C21" s="220"/>
      <c r="D21" s="8">
        <v>1332.15</v>
      </c>
    </row>
    <row r="22" spans="1:4" x14ac:dyDescent="0.25">
      <c r="A22" s="91"/>
      <c r="B22" s="219" t="s">
        <v>26</v>
      </c>
      <c r="C22" s="220"/>
      <c r="D22" s="9" t="s">
        <v>111</v>
      </c>
    </row>
    <row r="23" spans="1:4" x14ac:dyDescent="0.25">
      <c r="A23" s="91">
        <v>5</v>
      </c>
      <c r="B23" s="219" t="s">
        <v>27</v>
      </c>
      <c r="C23" s="220"/>
      <c r="D23" s="10">
        <v>43525</v>
      </c>
    </row>
    <row r="24" spans="1:4" x14ac:dyDescent="0.25">
      <c r="A24" s="263"/>
      <c r="B24" s="268"/>
      <c r="C24" s="268"/>
      <c r="D24" s="264"/>
    </row>
    <row r="25" spans="1:4" x14ac:dyDescent="0.25">
      <c r="A25" s="269" t="s">
        <v>28</v>
      </c>
      <c r="B25" s="269"/>
      <c r="C25" s="269"/>
      <c r="D25" s="269"/>
    </row>
    <row r="26" spans="1:4" x14ac:dyDescent="0.25">
      <c r="A26" s="270"/>
      <c r="B26" s="271"/>
      <c r="C26" s="271"/>
      <c r="D26" s="272"/>
    </row>
    <row r="27" spans="1:4" x14ac:dyDescent="0.25">
      <c r="A27" s="97">
        <v>1</v>
      </c>
      <c r="B27" s="224" t="s">
        <v>29</v>
      </c>
      <c r="C27" s="226"/>
      <c r="D27" s="97" t="s">
        <v>30</v>
      </c>
    </row>
    <row r="28" spans="1:4" x14ac:dyDescent="0.25">
      <c r="A28" s="91" t="s">
        <v>31</v>
      </c>
      <c r="B28" s="92" t="s">
        <v>32</v>
      </c>
      <c r="C28" s="149">
        <v>220</v>
      </c>
      <c r="D28" s="144">
        <f>D21/220*C28</f>
        <v>1332.15</v>
      </c>
    </row>
    <row r="29" spans="1:4" x14ac:dyDescent="0.25">
      <c r="A29" s="91" t="s">
        <v>6</v>
      </c>
      <c r="B29" s="92" t="s">
        <v>33</v>
      </c>
      <c r="C29" s="98">
        <v>0.3</v>
      </c>
      <c r="D29" s="145">
        <f>C29*D28</f>
        <v>399.64500000000004</v>
      </c>
    </row>
    <row r="30" spans="1:4" x14ac:dyDescent="0.25">
      <c r="A30" s="91" t="s">
        <v>8</v>
      </c>
      <c r="B30" s="92" t="s">
        <v>126</v>
      </c>
      <c r="C30" s="159">
        <f>(7/12)*(20%)</f>
        <v>0.11666666666666668</v>
      </c>
      <c r="D30" s="145">
        <v>0</v>
      </c>
    </row>
    <row r="31" spans="1:4" ht="25.5" x14ac:dyDescent="0.25">
      <c r="A31" s="91" t="s">
        <v>10</v>
      </c>
      <c r="B31" s="99" t="s">
        <v>127</v>
      </c>
      <c r="C31" s="160">
        <f>1/12*1.2</f>
        <v>9.9999999999999992E-2</v>
      </c>
      <c r="D31" s="145">
        <v>0</v>
      </c>
    </row>
    <row r="32" spans="1:4" x14ac:dyDescent="0.25">
      <c r="A32" s="91" t="s">
        <v>13</v>
      </c>
      <c r="B32" s="152" t="s">
        <v>185</v>
      </c>
      <c r="C32" s="151">
        <f>D32/D21</f>
        <v>2.1353482260183968E-2</v>
      </c>
      <c r="D32" s="146">
        <f>((D29+D28+D30+D31)/15.22)*3/12</f>
        <v>28.446041392904075</v>
      </c>
    </row>
    <row r="33" spans="1:4" x14ac:dyDescent="0.25">
      <c r="A33" s="91" t="s">
        <v>15</v>
      </c>
      <c r="B33" s="12" t="s">
        <v>34</v>
      </c>
      <c r="C33" s="87"/>
      <c r="D33" s="147"/>
    </row>
    <row r="34" spans="1:4" x14ac:dyDescent="0.25">
      <c r="A34" s="224" t="s">
        <v>35</v>
      </c>
      <c r="B34" s="225"/>
      <c r="C34" s="226"/>
      <c r="D34" s="100">
        <f>SUM(D28:D33)</f>
        <v>1760.2410413929042</v>
      </c>
    </row>
    <row r="35" spans="1:4" x14ac:dyDescent="0.25">
      <c r="A35" s="262"/>
      <c r="B35" s="262"/>
      <c r="C35" s="262"/>
      <c r="D35" s="262"/>
    </row>
    <row r="36" spans="1:4" x14ac:dyDescent="0.25">
      <c r="A36" s="242" t="s">
        <v>36</v>
      </c>
      <c r="B36" s="243"/>
      <c r="C36" s="243"/>
      <c r="D36" s="244"/>
    </row>
    <row r="37" spans="1:4" x14ac:dyDescent="0.25">
      <c r="A37" s="256"/>
      <c r="B37" s="257"/>
      <c r="C37" s="257"/>
      <c r="D37" s="258"/>
    </row>
    <row r="38" spans="1:4" x14ac:dyDescent="0.25">
      <c r="A38" s="101" t="s">
        <v>37</v>
      </c>
      <c r="B38" s="102" t="s">
        <v>38</v>
      </c>
      <c r="C38" s="101" t="s">
        <v>39</v>
      </c>
      <c r="D38" s="101" t="s">
        <v>30</v>
      </c>
    </row>
    <row r="39" spans="1:4" x14ac:dyDescent="0.25">
      <c r="A39" s="103" t="s">
        <v>31</v>
      </c>
      <c r="B39" s="104" t="s">
        <v>40</v>
      </c>
      <c r="C39" s="19">
        <v>8.3299999999999999E-2</v>
      </c>
      <c r="D39" s="105">
        <f>D34/12</f>
        <v>146.68675344940868</v>
      </c>
    </row>
    <row r="40" spans="1:4" x14ac:dyDescent="0.25">
      <c r="A40" s="103" t="s">
        <v>6</v>
      </c>
      <c r="B40" s="104" t="s">
        <v>41</v>
      </c>
      <c r="C40" s="19">
        <f>D40/D34</f>
        <v>2.7777777777777776E-2</v>
      </c>
      <c r="D40" s="105">
        <f>D34/12/3</f>
        <v>48.895584483136226</v>
      </c>
    </row>
    <row r="41" spans="1:4" x14ac:dyDescent="0.25">
      <c r="A41" s="235" t="s">
        <v>42</v>
      </c>
      <c r="B41" s="236"/>
      <c r="C41" s="106">
        <f>SUM(C39:C40)</f>
        <v>0.11107777777777778</v>
      </c>
      <c r="D41" s="107">
        <f>SUM(D39:D40)</f>
        <v>195.5823379325449</v>
      </c>
    </row>
    <row r="42" spans="1:4" x14ac:dyDescent="0.25">
      <c r="A42" s="256"/>
      <c r="B42" s="257"/>
      <c r="C42" s="257"/>
      <c r="D42" s="258"/>
    </row>
    <row r="43" spans="1:4" x14ac:dyDescent="0.25">
      <c r="A43" s="108" t="s">
        <v>43</v>
      </c>
      <c r="B43" s="109" t="s">
        <v>44</v>
      </c>
      <c r="C43" s="108" t="s">
        <v>39</v>
      </c>
      <c r="D43" s="107" t="s">
        <v>30</v>
      </c>
    </row>
    <row r="44" spans="1:4" x14ac:dyDescent="0.25">
      <c r="A44" s="110" t="s">
        <v>31</v>
      </c>
      <c r="B44" s="111" t="s">
        <v>45</v>
      </c>
      <c r="C44" s="27">
        <v>0.2</v>
      </c>
      <c r="D44" s="105">
        <f>C44*($D$34+$D$41)</f>
        <v>391.16467586508986</v>
      </c>
    </row>
    <row r="45" spans="1:4" x14ac:dyDescent="0.25">
      <c r="A45" s="110" t="s">
        <v>6</v>
      </c>
      <c r="B45" s="111" t="s">
        <v>46</v>
      </c>
      <c r="C45" s="28">
        <v>2.5000000000000001E-2</v>
      </c>
      <c r="D45" s="105">
        <f t="shared" ref="D45:D51" si="0">C45*($D$34+$D$41)</f>
        <v>48.895584483136233</v>
      </c>
    </row>
    <row r="46" spans="1:4" x14ac:dyDescent="0.25">
      <c r="A46" s="110" t="s">
        <v>8</v>
      </c>
      <c r="B46" s="111" t="s">
        <v>47</v>
      </c>
      <c r="C46" s="29">
        <v>0.03</v>
      </c>
      <c r="D46" s="105">
        <f t="shared" si="0"/>
        <v>58.674701379763476</v>
      </c>
    </row>
    <row r="47" spans="1:4" x14ac:dyDescent="0.25">
      <c r="A47" s="110" t="s">
        <v>10</v>
      </c>
      <c r="B47" s="111" t="s">
        <v>48</v>
      </c>
      <c r="C47" s="28">
        <v>1.4999999999999999E-2</v>
      </c>
      <c r="D47" s="105">
        <f t="shared" si="0"/>
        <v>29.337350689881738</v>
      </c>
    </row>
    <row r="48" spans="1:4" x14ac:dyDescent="0.25">
      <c r="A48" s="110" t="s">
        <v>13</v>
      </c>
      <c r="B48" s="111" t="s">
        <v>49</v>
      </c>
      <c r="C48" s="28">
        <v>0.01</v>
      </c>
      <c r="D48" s="105">
        <f t="shared" si="0"/>
        <v>19.558233793254491</v>
      </c>
    </row>
    <row r="49" spans="1:5" x14ac:dyDescent="0.25">
      <c r="A49" s="110" t="s">
        <v>15</v>
      </c>
      <c r="B49" s="111" t="s">
        <v>50</v>
      </c>
      <c r="C49" s="28">
        <v>6.0000000000000001E-3</v>
      </c>
      <c r="D49" s="105">
        <f t="shared" si="0"/>
        <v>11.734940275952695</v>
      </c>
    </row>
    <row r="50" spans="1:5" x14ac:dyDescent="0.25">
      <c r="A50" s="110" t="s">
        <v>17</v>
      </c>
      <c r="B50" s="111" t="s">
        <v>51</v>
      </c>
      <c r="C50" s="28">
        <v>2E-3</v>
      </c>
      <c r="D50" s="105">
        <f t="shared" si="0"/>
        <v>3.9116467586508983</v>
      </c>
    </row>
    <row r="51" spans="1:5" x14ac:dyDescent="0.25">
      <c r="A51" s="110" t="s">
        <v>52</v>
      </c>
      <c r="B51" s="111" t="s">
        <v>53</v>
      </c>
      <c r="C51" s="27">
        <v>0.08</v>
      </c>
      <c r="D51" s="105">
        <f t="shared" si="0"/>
        <v>156.46587034603593</v>
      </c>
    </row>
    <row r="52" spans="1:5" x14ac:dyDescent="0.25">
      <c r="A52" s="235" t="s">
        <v>42</v>
      </c>
      <c r="B52" s="236"/>
      <c r="C52" s="112">
        <f>SUM(C44:C51)</f>
        <v>0.36800000000000005</v>
      </c>
      <c r="D52" s="108">
        <f>SUM(D44:D51)</f>
        <v>719.74300359176539</v>
      </c>
    </row>
    <row r="53" spans="1:5" x14ac:dyDescent="0.25">
      <c r="A53" s="256"/>
      <c r="B53" s="257"/>
      <c r="C53" s="257"/>
      <c r="D53" s="258"/>
    </row>
    <row r="54" spans="1:5" x14ac:dyDescent="0.25">
      <c r="A54" s="108" t="s">
        <v>54</v>
      </c>
      <c r="B54" s="109" t="s">
        <v>55</v>
      </c>
      <c r="C54" s="108" t="s">
        <v>56</v>
      </c>
      <c r="D54" s="108" t="s">
        <v>30</v>
      </c>
    </row>
    <row r="55" spans="1:5" x14ac:dyDescent="0.25">
      <c r="A55" s="113" t="s">
        <v>31</v>
      </c>
      <c r="B55" s="111" t="s">
        <v>115</v>
      </c>
      <c r="C55" s="31">
        <v>3.75</v>
      </c>
      <c r="D55" s="114">
        <f>(15.22*2*C55)-(D28*50%*6%)</f>
        <v>74.185500000000005</v>
      </c>
    </row>
    <row r="56" spans="1:5" x14ac:dyDescent="0.25">
      <c r="A56" s="113" t="s">
        <v>6</v>
      </c>
      <c r="B56" s="111" t="s">
        <v>184</v>
      </c>
      <c r="C56" s="33">
        <v>24.15</v>
      </c>
      <c r="D56" s="115">
        <f>C56*15.22-(D21*1%)</f>
        <v>354.24149999999997</v>
      </c>
      <c r="E56" s="116"/>
    </row>
    <row r="57" spans="1:5" x14ac:dyDescent="0.25">
      <c r="A57" s="113" t="s">
        <v>8</v>
      </c>
      <c r="B57" s="111" t="s">
        <v>57</v>
      </c>
      <c r="C57" s="33">
        <v>47</v>
      </c>
      <c r="D57" s="117">
        <f t="shared" ref="D57:D61" si="1">C57</f>
        <v>47</v>
      </c>
    </row>
    <row r="58" spans="1:5" x14ac:dyDescent="0.25">
      <c r="A58" s="113" t="s">
        <v>10</v>
      </c>
      <c r="B58" s="111" t="s">
        <v>116</v>
      </c>
      <c r="C58" s="33"/>
      <c r="D58" s="117">
        <f t="shared" si="1"/>
        <v>0</v>
      </c>
    </row>
    <row r="59" spans="1:5" x14ac:dyDescent="0.25">
      <c r="A59" s="113" t="s">
        <v>13</v>
      </c>
      <c r="B59" s="111" t="s">
        <v>117</v>
      </c>
      <c r="C59" s="33"/>
      <c r="D59" s="117">
        <f t="shared" si="1"/>
        <v>0</v>
      </c>
    </row>
    <row r="60" spans="1:5" x14ac:dyDescent="0.25">
      <c r="A60" s="113" t="s">
        <v>15</v>
      </c>
      <c r="B60" s="119" t="s">
        <v>118</v>
      </c>
      <c r="C60" s="33"/>
      <c r="D60" s="117">
        <f t="shared" si="1"/>
        <v>0</v>
      </c>
    </row>
    <row r="61" spans="1:5" x14ac:dyDescent="0.25">
      <c r="A61" s="113" t="s">
        <v>17</v>
      </c>
      <c r="B61" s="68" t="s">
        <v>119</v>
      </c>
      <c r="C61" s="33"/>
      <c r="D61" s="117">
        <f t="shared" si="1"/>
        <v>0</v>
      </c>
    </row>
    <row r="62" spans="1:5" ht="38.25" customHeight="1" x14ac:dyDescent="0.25">
      <c r="A62" s="235" t="s">
        <v>58</v>
      </c>
      <c r="B62" s="252"/>
      <c r="C62" s="236"/>
      <c r="D62" s="107">
        <f>SUM(D55:D61)</f>
        <v>475.42699999999996</v>
      </c>
    </row>
    <row r="63" spans="1:5" x14ac:dyDescent="0.25">
      <c r="A63" s="256"/>
      <c r="B63" s="257"/>
      <c r="C63" s="257"/>
      <c r="D63" s="258"/>
    </row>
    <row r="64" spans="1:5" x14ac:dyDescent="0.25">
      <c r="A64" s="260" t="s">
        <v>59</v>
      </c>
      <c r="B64" s="261"/>
      <c r="C64" s="108" t="s">
        <v>39</v>
      </c>
      <c r="D64" s="108" t="s">
        <v>30</v>
      </c>
    </row>
    <row r="65" spans="1:5" x14ac:dyDescent="0.25">
      <c r="A65" s="110" t="s">
        <v>60</v>
      </c>
      <c r="B65" s="111" t="s">
        <v>38</v>
      </c>
      <c r="C65" s="120">
        <f>C41</f>
        <v>0.11107777777777778</v>
      </c>
      <c r="D65" s="105">
        <f>D41</f>
        <v>195.5823379325449</v>
      </c>
    </row>
    <row r="66" spans="1:5" x14ac:dyDescent="0.25">
      <c r="A66" s="110" t="s">
        <v>43</v>
      </c>
      <c r="B66" s="111" t="s">
        <v>44</v>
      </c>
      <c r="C66" s="120">
        <f>C52</f>
        <v>0.36800000000000005</v>
      </c>
      <c r="D66" s="105">
        <f>D52</f>
        <v>719.74300359176539</v>
      </c>
    </row>
    <row r="67" spans="1:5" x14ac:dyDescent="0.25">
      <c r="A67" s="110" t="s">
        <v>61</v>
      </c>
      <c r="B67" s="111" t="s">
        <v>55</v>
      </c>
      <c r="C67" s="121"/>
      <c r="D67" s="105">
        <f>D62</f>
        <v>475.42699999999996</v>
      </c>
    </row>
    <row r="68" spans="1:5" x14ac:dyDescent="0.25">
      <c r="A68" s="235" t="s">
        <v>42</v>
      </c>
      <c r="B68" s="252"/>
      <c r="C68" s="236"/>
      <c r="D68" s="107">
        <f>SUM(D65:D67)</f>
        <v>1390.7523415243102</v>
      </c>
    </row>
    <row r="69" spans="1:5" x14ac:dyDescent="0.25">
      <c r="A69" s="256"/>
      <c r="B69" s="257"/>
      <c r="C69" s="257"/>
      <c r="D69" s="258"/>
    </row>
    <row r="70" spans="1:5" x14ac:dyDescent="0.25">
      <c r="A70" s="242" t="s">
        <v>125</v>
      </c>
      <c r="B70" s="243"/>
      <c r="C70" s="243"/>
      <c r="D70" s="244"/>
    </row>
    <row r="71" spans="1:5" x14ac:dyDescent="0.25">
      <c r="A71" s="256"/>
      <c r="B71" s="257"/>
      <c r="C71" s="257"/>
      <c r="D71" s="258"/>
    </row>
    <row r="72" spans="1:5" x14ac:dyDescent="0.25">
      <c r="A72" s="122">
        <v>3</v>
      </c>
      <c r="B72" s="109" t="s">
        <v>62</v>
      </c>
      <c r="C72" s="108" t="s">
        <v>39</v>
      </c>
      <c r="D72" s="108" t="s">
        <v>30</v>
      </c>
    </row>
    <row r="73" spans="1:5" x14ac:dyDescent="0.25">
      <c r="A73" s="110" t="s">
        <v>31</v>
      </c>
      <c r="B73" s="111" t="s">
        <v>124</v>
      </c>
      <c r="C73" s="39">
        <f>74.1%*(1/12)</f>
        <v>6.1749999999999999E-2</v>
      </c>
      <c r="D73" s="105">
        <f>C73*D34</f>
        <v>108.69488430601183</v>
      </c>
      <c r="E73" s="116" t="s">
        <v>63</v>
      </c>
    </row>
    <row r="74" spans="1:5" x14ac:dyDescent="0.25">
      <c r="A74" s="110" t="s">
        <v>6</v>
      </c>
      <c r="B74" s="111" t="s">
        <v>64</v>
      </c>
      <c r="C74" s="123">
        <f>C51*C73</f>
        <v>4.9399999999999999E-3</v>
      </c>
      <c r="D74" s="105">
        <f>C74*D34</f>
        <v>8.6955907444809473</v>
      </c>
    </row>
    <row r="75" spans="1:5" ht="25.5" x14ac:dyDescent="0.25">
      <c r="A75" s="110" t="s">
        <v>8</v>
      </c>
      <c r="B75" s="111" t="s">
        <v>65</v>
      </c>
      <c r="C75" s="124">
        <f>C51*50%*C73</f>
        <v>2.47E-3</v>
      </c>
      <c r="D75" s="105">
        <f>C75*(D34+D41)</f>
        <v>4.8308837469338597</v>
      </c>
    </row>
    <row r="76" spans="1:5" x14ac:dyDescent="0.25">
      <c r="A76" s="110" t="s">
        <v>10</v>
      </c>
      <c r="B76" s="111" t="s">
        <v>123</v>
      </c>
      <c r="C76" s="43">
        <f>8.23%*(7/360)</f>
        <v>1.6002777777777777E-3</v>
      </c>
      <c r="D76" s="105">
        <f>C76*D34</f>
        <v>2.8168746220734779</v>
      </c>
      <c r="E76" s="116" t="s">
        <v>66</v>
      </c>
    </row>
    <row r="77" spans="1:5" ht="25.5" x14ac:dyDescent="0.25">
      <c r="A77" s="110" t="s">
        <v>13</v>
      </c>
      <c r="B77" s="111" t="s">
        <v>67</v>
      </c>
      <c r="C77" s="124">
        <f>C52*C76</f>
        <v>5.8890222222222227E-4</v>
      </c>
      <c r="D77" s="105">
        <f>C77*D34</f>
        <v>1.0366098609230401</v>
      </c>
    </row>
    <row r="78" spans="1:5" ht="25.5" x14ac:dyDescent="0.25">
      <c r="A78" s="110" t="s">
        <v>15</v>
      </c>
      <c r="B78" s="111" t="s">
        <v>68</v>
      </c>
      <c r="C78" s="124">
        <f>C76*50%*C51</f>
        <v>6.401111111111111E-5</v>
      </c>
      <c r="D78" s="105">
        <f>C78*(D34+D41)</f>
        <v>0.12519442764771013</v>
      </c>
    </row>
    <row r="79" spans="1:5" x14ac:dyDescent="0.25">
      <c r="A79" s="235" t="s">
        <v>69</v>
      </c>
      <c r="B79" s="259"/>
      <c r="C79" s="106">
        <f>SUM(C73:C78)</f>
        <v>7.1413191111111121E-2</v>
      </c>
      <c r="D79" s="107">
        <f>SUM(D73:D78)</f>
        <v>126.20003770807088</v>
      </c>
    </row>
    <row r="80" spans="1:5" x14ac:dyDescent="0.25">
      <c r="A80" s="233"/>
      <c r="B80" s="237"/>
      <c r="C80" s="237"/>
      <c r="D80" s="234"/>
    </row>
    <row r="81" spans="1:4" x14ac:dyDescent="0.25">
      <c r="A81" s="242" t="s">
        <v>70</v>
      </c>
      <c r="B81" s="243"/>
      <c r="C81" s="243"/>
      <c r="D81" s="244"/>
    </row>
    <row r="82" spans="1:4" x14ac:dyDescent="0.25">
      <c r="A82" s="245"/>
      <c r="B82" s="246"/>
      <c r="C82" s="246"/>
      <c r="D82" s="247"/>
    </row>
    <row r="83" spans="1:4" x14ac:dyDescent="0.25">
      <c r="A83" s="108" t="s">
        <v>71</v>
      </c>
      <c r="B83" s="109" t="s">
        <v>72</v>
      </c>
      <c r="C83" s="106" t="s">
        <v>39</v>
      </c>
      <c r="D83" s="108" t="s">
        <v>30</v>
      </c>
    </row>
    <row r="84" spans="1:4" x14ac:dyDescent="0.25">
      <c r="A84" s="113" t="s">
        <v>31</v>
      </c>
      <c r="B84" s="111" t="s">
        <v>73</v>
      </c>
      <c r="C84" s="44">
        <v>9.0749999999999997E-2</v>
      </c>
      <c r="D84" s="125">
        <f>C84*(D34+D68+D79)</f>
        <v>297.40530292174458</v>
      </c>
    </row>
    <row r="85" spans="1:4" x14ac:dyDescent="0.25">
      <c r="A85" s="113" t="s">
        <v>6</v>
      </c>
      <c r="B85" s="111" t="s">
        <v>128</v>
      </c>
      <c r="C85" s="43">
        <f>(1+1+0.1522+0.0309+0.0123+0.02+0.004+0.0002)/100</f>
        <v>2.2196000000000004E-2</v>
      </c>
      <c r="D85" s="125">
        <f>C85*(D34+D68+D79)</f>
        <v>72.740585164198833</v>
      </c>
    </row>
    <row r="86" spans="1:4" x14ac:dyDescent="0.25">
      <c r="A86" s="113" t="s">
        <v>8</v>
      </c>
      <c r="B86" s="111" t="s">
        <v>74</v>
      </c>
      <c r="C86" s="153">
        <v>3.21E-4</v>
      </c>
      <c r="D86" s="125">
        <f>C86*(D34+D68+D79)</f>
        <v>1.0519790880207165</v>
      </c>
    </row>
    <row r="87" spans="1:4" x14ac:dyDescent="0.25">
      <c r="A87" s="113" t="s">
        <v>10</v>
      </c>
      <c r="B87" s="111" t="s">
        <v>75</v>
      </c>
      <c r="C87" s="153">
        <v>9.2199999999999997E-4</v>
      </c>
      <c r="D87" s="125">
        <f>C87*(D34+D68+D79)</f>
        <v>3.0215723338165126</v>
      </c>
    </row>
    <row r="88" spans="1:4" x14ac:dyDescent="0.25">
      <c r="A88" s="113" t="s">
        <v>13</v>
      </c>
      <c r="B88" s="111" t="s">
        <v>76</v>
      </c>
      <c r="C88" s="153">
        <v>2.8E-5</v>
      </c>
      <c r="D88" s="53">
        <f>C88*(D39+D52+D56+D57+D79)</f>
        <v>3.902839625297886E-2</v>
      </c>
    </row>
    <row r="89" spans="1:4" ht="17.25" customHeight="1" x14ac:dyDescent="0.25">
      <c r="A89" s="113" t="s">
        <v>15</v>
      </c>
      <c r="B89" s="35" t="s">
        <v>34</v>
      </c>
      <c r="C89" s="43"/>
      <c r="D89" s="125">
        <f>C89*(D34+D68+D79)</f>
        <v>0</v>
      </c>
    </row>
    <row r="90" spans="1:4" ht="21" customHeight="1" x14ac:dyDescent="0.25">
      <c r="A90" s="235" t="s">
        <v>42</v>
      </c>
      <c r="B90" s="236"/>
      <c r="C90" s="106">
        <f>SUM(C84:C89)</f>
        <v>0.11421700000000001</v>
      </c>
      <c r="D90" s="107">
        <f>SUM(D84:D89)</f>
        <v>374.25846790403364</v>
      </c>
    </row>
    <row r="91" spans="1:4" x14ac:dyDescent="0.25">
      <c r="A91" s="233"/>
      <c r="B91" s="237"/>
      <c r="C91" s="237"/>
      <c r="D91" s="234"/>
    </row>
    <row r="92" spans="1:4" x14ac:dyDescent="0.25">
      <c r="A92" s="126" t="s">
        <v>77</v>
      </c>
      <c r="B92" s="126" t="s">
        <v>78</v>
      </c>
      <c r="C92" s="106" t="s">
        <v>39</v>
      </c>
      <c r="D92" s="108" t="s">
        <v>30</v>
      </c>
    </row>
    <row r="93" spans="1:4" x14ac:dyDescent="0.25">
      <c r="A93" s="127" t="s">
        <v>31</v>
      </c>
      <c r="B93" s="128" t="s">
        <v>129</v>
      </c>
      <c r="C93" s="156">
        <f>((D34+D68+D79)/220)</f>
        <v>14.896333730114932</v>
      </c>
      <c r="D93" s="129">
        <f>C93*15</f>
        <v>223.445005951724</v>
      </c>
    </row>
    <row r="94" spans="1:4" x14ac:dyDescent="0.25">
      <c r="A94" s="235" t="s">
        <v>42</v>
      </c>
      <c r="B94" s="236"/>
      <c r="C94" s="130">
        <f>D93/(D34+D68+D79)</f>
        <v>6.8181818181818191E-2</v>
      </c>
      <c r="D94" s="131">
        <f>D93</f>
        <v>223.445005951724</v>
      </c>
    </row>
    <row r="95" spans="1:4" x14ac:dyDescent="0.25">
      <c r="A95" s="233"/>
      <c r="B95" s="237"/>
      <c r="C95" s="237"/>
      <c r="D95" s="234"/>
    </row>
    <row r="96" spans="1:4" x14ac:dyDescent="0.25">
      <c r="A96" s="235" t="s">
        <v>79</v>
      </c>
      <c r="B96" s="236"/>
      <c r="C96" s="108" t="s">
        <v>39</v>
      </c>
      <c r="D96" s="108" t="s">
        <v>30</v>
      </c>
    </row>
    <row r="97" spans="1:6" x14ac:dyDescent="0.25">
      <c r="A97" s="127" t="s">
        <v>71</v>
      </c>
      <c r="B97" s="128" t="s">
        <v>72</v>
      </c>
      <c r="C97" s="132">
        <f>C90</f>
        <v>0.11421700000000001</v>
      </c>
      <c r="D97" s="127">
        <f>D90</f>
        <v>374.25846790403364</v>
      </c>
    </row>
    <row r="98" spans="1:6" x14ac:dyDescent="0.25">
      <c r="A98" s="127" t="s">
        <v>77</v>
      </c>
      <c r="B98" s="128" t="s">
        <v>78</v>
      </c>
      <c r="C98" s="132">
        <f>C94</f>
        <v>6.8181818181818191E-2</v>
      </c>
      <c r="D98" s="127">
        <f>D94</f>
        <v>223.445005951724</v>
      </c>
    </row>
    <row r="99" spans="1:6" x14ac:dyDescent="0.25">
      <c r="A99" s="235" t="s">
        <v>80</v>
      </c>
      <c r="B99" s="236"/>
      <c r="C99" s="133"/>
      <c r="D99" s="108">
        <f>D97+D98</f>
        <v>597.70347385575769</v>
      </c>
    </row>
    <row r="100" spans="1:6" x14ac:dyDescent="0.25">
      <c r="A100" s="233"/>
      <c r="B100" s="237"/>
      <c r="C100" s="237"/>
      <c r="D100" s="234"/>
    </row>
    <row r="101" spans="1:6" x14ac:dyDescent="0.25">
      <c r="A101" s="242" t="s">
        <v>81</v>
      </c>
      <c r="B101" s="243"/>
      <c r="C101" s="243"/>
      <c r="D101" s="244"/>
    </row>
    <row r="102" spans="1:6" x14ac:dyDescent="0.25">
      <c r="A102" s="245"/>
      <c r="B102" s="246"/>
      <c r="C102" s="246"/>
      <c r="D102" s="247"/>
    </row>
    <row r="103" spans="1:6" x14ac:dyDescent="0.25">
      <c r="A103" s="122">
        <v>5</v>
      </c>
      <c r="B103" s="235" t="s">
        <v>82</v>
      </c>
      <c r="C103" s="236"/>
      <c r="D103" s="108" t="s">
        <v>30</v>
      </c>
    </row>
    <row r="104" spans="1:6" x14ac:dyDescent="0.25">
      <c r="A104" s="113" t="s">
        <v>31</v>
      </c>
      <c r="B104" s="248" t="s">
        <v>83</v>
      </c>
      <c r="C104" s="249"/>
      <c r="D104" s="86">
        <f>INSUMOS!E15</f>
        <v>53</v>
      </c>
      <c r="E104" s="134"/>
      <c r="F104" s="116"/>
    </row>
    <row r="105" spans="1:6" x14ac:dyDescent="0.25">
      <c r="A105" s="113" t="s">
        <v>6</v>
      </c>
      <c r="B105" s="248" t="s">
        <v>186</v>
      </c>
      <c r="C105" s="249"/>
      <c r="D105" s="86">
        <v>0</v>
      </c>
    </row>
    <row r="106" spans="1:6" x14ac:dyDescent="0.25">
      <c r="A106" s="113" t="s">
        <v>8</v>
      </c>
      <c r="B106" s="250" t="s">
        <v>34</v>
      </c>
      <c r="C106" s="251"/>
      <c r="D106" s="54">
        <v>0</v>
      </c>
    </row>
    <row r="107" spans="1:6" x14ac:dyDescent="0.25">
      <c r="A107" s="235" t="s">
        <v>85</v>
      </c>
      <c r="B107" s="252"/>
      <c r="C107" s="236"/>
      <c r="D107" s="107">
        <f>SUM(D104:D106)</f>
        <v>53</v>
      </c>
    </row>
    <row r="108" spans="1:6" x14ac:dyDescent="0.25">
      <c r="A108" s="233"/>
      <c r="B108" s="237"/>
      <c r="C108" s="237"/>
      <c r="D108" s="234"/>
    </row>
    <row r="109" spans="1:6" x14ac:dyDescent="0.25">
      <c r="A109" s="253" t="s">
        <v>86</v>
      </c>
      <c r="B109" s="253"/>
      <c r="C109" s="253"/>
      <c r="D109" s="135">
        <f>D34+D68+D79+D99+D107</f>
        <v>3927.8968944810426</v>
      </c>
    </row>
    <row r="110" spans="1:6" x14ac:dyDescent="0.25">
      <c r="A110" s="254"/>
      <c r="B110" s="254"/>
      <c r="C110" s="254"/>
      <c r="D110" s="254"/>
    </row>
    <row r="111" spans="1:6" x14ac:dyDescent="0.25">
      <c r="A111" s="255" t="s">
        <v>87</v>
      </c>
      <c r="B111" s="255"/>
      <c r="C111" s="255"/>
      <c r="D111" s="255"/>
    </row>
    <row r="112" spans="1:6" x14ac:dyDescent="0.25">
      <c r="A112" s="239"/>
      <c r="B112" s="240"/>
      <c r="C112" s="240"/>
      <c r="D112" s="241"/>
    </row>
    <row r="113" spans="1:4" x14ac:dyDescent="0.25">
      <c r="A113" s="122">
        <v>6</v>
      </c>
      <c r="B113" s="109" t="s">
        <v>88</v>
      </c>
      <c r="C113" s="108" t="s">
        <v>39</v>
      </c>
      <c r="D113" s="108" t="s">
        <v>30</v>
      </c>
    </row>
    <row r="114" spans="1:4" ht="15.75" x14ac:dyDescent="0.25">
      <c r="A114" s="113" t="s">
        <v>31</v>
      </c>
      <c r="B114" s="136" t="s">
        <v>89</v>
      </c>
      <c r="C114" s="57">
        <v>0.06</v>
      </c>
      <c r="D114" s="137">
        <f>C114*D109</f>
        <v>235.67381366886255</v>
      </c>
    </row>
    <row r="115" spans="1:4" ht="31.5" customHeight="1" x14ac:dyDescent="0.25">
      <c r="A115" s="227" t="s">
        <v>90</v>
      </c>
      <c r="B115" s="228"/>
      <c r="C115" s="229"/>
      <c r="D115" s="137">
        <f>D109+D114</f>
        <v>4163.5707081499049</v>
      </c>
    </row>
    <row r="116" spans="1:4" ht="15.75" x14ac:dyDescent="0.25">
      <c r="A116" s="113" t="s">
        <v>6</v>
      </c>
      <c r="B116" s="136" t="s">
        <v>91</v>
      </c>
      <c r="C116" s="72">
        <v>0.11980341017716072</v>
      </c>
      <c r="D116" s="137">
        <f>C116*D115</f>
        <v>498.80996935009455</v>
      </c>
    </row>
    <row r="117" spans="1:4" x14ac:dyDescent="0.25">
      <c r="A117" s="227" t="s">
        <v>90</v>
      </c>
      <c r="B117" s="228"/>
      <c r="C117" s="228"/>
      <c r="D117" s="137">
        <f>D116+D115</f>
        <v>4662.3806774999994</v>
      </c>
    </row>
    <row r="118" spans="1:4" ht="15.75" x14ac:dyDescent="0.25">
      <c r="A118" s="113" t="s">
        <v>8</v>
      </c>
      <c r="B118" s="230" t="s">
        <v>92</v>
      </c>
      <c r="C118" s="231"/>
      <c r="D118" s="232"/>
    </row>
    <row r="119" spans="1:4" x14ac:dyDescent="0.25">
      <c r="A119" s="138"/>
      <c r="B119" s="139" t="s">
        <v>93</v>
      </c>
      <c r="C119" s="60">
        <v>6.4999999999999997E-3</v>
      </c>
      <c r="D119" s="137">
        <f>(D117/(1-C122)*C119)</f>
        <v>33.175122500000001</v>
      </c>
    </row>
    <row r="120" spans="1:4" x14ac:dyDescent="0.25">
      <c r="A120" s="138"/>
      <c r="B120" s="139" t="s">
        <v>94</v>
      </c>
      <c r="C120" s="60">
        <v>0.03</v>
      </c>
      <c r="D120" s="137">
        <f>(D117/(1-C122)*C120)</f>
        <v>153.11595</v>
      </c>
    </row>
    <row r="121" spans="1:4" x14ac:dyDescent="0.25">
      <c r="A121" s="138"/>
      <c r="B121" s="139" t="s">
        <v>95</v>
      </c>
      <c r="C121" s="63">
        <v>0.05</v>
      </c>
      <c r="D121" s="137">
        <f>(D117/(1-C122)*C121)</f>
        <v>255.19325000000001</v>
      </c>
    </row>
    <row r="122" spans="1:4" x14ac:dyDescent="0.25">
      <c r="A122" s="233" t="s">
        <v>96</v>
      </c>
      <c r="B122" s="234"/>
      <c r="C122" s="140">
        <f>SUM(C119:C121)</f>
        <v>8.6499999999999994E-2</v>
      </c>
      <c r="D122" s="137">
        <f>SUM(D119:D121)</f>
        <v>441.48432249999996</v>
      </c>
    </row>
    <row r="123" spans="1:4" x14ac:dyDescent="0.25">
      <c r="A123" s="235" t="s">
        <v>97</v>
      </c>
      <c r="B123" s="236"/>
      <c r="C123" s="130">
        <f>SUM(C114+C116+C122)</f>
        <v>0.26630341017716075</v>
      </c>
      <c r="D123" s="131">
        <f>SUM(D122+D114+D116)</f>
        <v>1175.9681055189571</v>
      </c>
    </row>
    <row r="124" spans="1:4" x14ac:dyDescent="0.25">
      <c r="A124" s="233"/>
      <c r="B124" s="237"/>
      <c r="C124" s="237"/>
      <c r="D124" s="234"/>
    </row>
    <row r="125" spans="1:4" x14ac:dyDescent="0.25">
      <c r="A125" s="224" t="s">
        <v>98</v>
      </c>
      <c r="B125" s="225"/>
      <c r="C125" s="226"/>
      <c r="D125" s="141" t="s">
        <v>30</v>
      </c>
    </row>
    <row r="126" spans="1:4" x14ac:dyDescent="0.25">
      <c r="A126" s="219" t="s">
        <v>99</v>
      </c>
      <c r="B126" s="238"/>
      <c r="C126" s="238"/>
      <c r="D126" s="220"/>
    </row>
    <row r="127" spans="1:4" x14ac:dyDescent="0.25">
      <c r="A127" s="91" t="s">
        <v>31</v>
      </c>
      <c r="B127" s="219" t="s">
        <v>100</v>
      </c>
      <c r="C127" s="220"/>
      <c r="D127" s="105">
        <f>D34</f>
        <v>1760.2410413929042</v>
      </c>
    </row>
    <row r="128" spans="1:4" x14ac:dyDescent="0.25">
      <c r="A128" s="91" t="s">
        <v>6</v>
      </c>
      <c r="B128" s="219" t="s">
        <v>101</v>
      </c>
      <c r="C128" s="220"/>
      <c r="D128" s="105">
        <f>D68</f>
        <v>1390.7523415243102</v>
      </c>
    </row>
    <row r="129" spans="1:4" x14ac:dyDescent="0.25">
      <c r="A129" s="91" t="s">
        <v>8</v>
      </c>
      <c r="B129" s="219" t="s">
        <v>102</v>
      </c>
      <c r="C129" s="220"/>
      <c r="D129" s="105">
        <f>D79</f>
        <v>126.20003770807088</v>
      </c>
    </row>
    <row r="130" spans="1:4" x14ac:dyDescent="0.25">
      <c r="A130" s="91" t="s">
        <v>10</v>
      </c>
      <c r="B130" s="219" t="s">
        <v>103</v>
      </c>
      <c r="C130" s="220"/>
      <c r="D130" s="105">
        <f>D99</f>
        <v>597.70347385575769</v>
      </c>
    </row>
    <row r="131" spans="1:4" x14ac:dyDescent="0.25">
      <c r="A131" s="91" t="s">
        <v>13</v>
      </c>
      <c r="B131" s="219" t="s">
        <v>104</v>
      </c>
      <c r="C131" s="220"/>
      <c r="D131" s="105">
        <f>D107</f>
        <v>53</v>
      </c>
    </row>
    <row r="132" spans="1:4" x14ac:dyDescent="0.25">
      <c r="A132" s="221" t="s">
        <v>105</v>
      </c>
      <c r="B132" s="222"/>
      <c r="C132" s="223"/>
      <c r="D132" s="105">
        <f>SUM(D127:D131)</f>
        <v>3927.8968944810426</v>
      </c>
    </row>
    <row r="133" spans="1:4" x14ac:dyDescent="0.25">
      <c r="A133" s="91" t="s">
        <v>106</v>
      </c>
      <c r="B133" s="219" t="s">
        <v>107</v>
      </c>
      <c r="C133" s="220"/>
      <c r="D133" s="105">
        <f>D123</f>
        <v>1175.9681055189571</v>
      </c>
    </row>
    <row r="134" spans="1:4" x14ac:dyDescent="0.25">
      <c r="A134" s="224" t="s">
        <v>108</v>
      </c>
      <c r="B134" s="225"/>
      <c r="C134" s="226"/>
      <c r="D134" s="142">
        <f xml:space="preserve"> D132+D133</f>
        <v>5103.8649999999998</v>
      </c>
    </row>
    <row r="135" spans="1:4" x14ac:dyDescent="0.25">
      <c r="A135" s="224" t="s">
        <v>122</v>
      </c>
      <c r="B135" s="225"/>
      <c r="C135" s="226"/>
      <c r="D135" s="143">
        <f>D134*2</f>
        <v>10207.73</v>
      </c>
    </row>
    <row r="136" spans="1:4" hidden="1" x14ac:dyDescent="0.25"/>
    <row r="137" spans="1:4" hidden="1" x14ac:dyDescent="0.25"/>
    <row r="138" spans="1:4" hidden="1" x14ac:dyDescent="0.25"/>
    <row r="139" spans="1:4" hidden="1" x14ac:dyDescent="0.25"/>
    <row r="140" spans="1:4" hidden="1" x14ac:dyDescent="0.25"/>
    <row r="141" spans="1:4" hidden="1" x14ac:dyDescent="0.25"/>
    <row r="142" spans="1:4" hidden="1" x14ac:dyDescent="0.25"/>
    <row r="143" spans="1:4" hidden="1" x14ac:dyDescent="0.25"/>
    <row r="144" spans="1:4" hidden="1" x14ac:dyDescent="0.25"/>
  </sheetData>
  <sheetProtection algorithmName="SHA-512" hashValue="LA4jIc2ESMI6ClF7dJT5UL3t7UTVovwtD0V60gj8X/1Kj8wqKSkvvuzJ+3C10COMQJgzL5vNX3x8rTPVHS/e7g==" saltValue="0FcTQtQiV+0CAk25gsG04g==" spinCount="100000" sheet="1" objects="1" scenarios="1"/>
  <customSheetViews>
    <customSheetView guid="{5814B4A8-EA6A-43F4-B910-A8CE90082F1D}" hiddenRows="1" hiddenColumns="1" topLeftCell="A100">
      <selection activeCell="B106" sqref="B106:D106"/>
      <pageMargins left="0.511811024" right="0.511811024" top="0.78740157499999996" bottom="0.78740157499999996" header="0.31496062000000002" footer="0.31496062000000002"/>
    </customSheetView>
  </customSheetViews>
  <mergeCells count="83">
    <mergeCell ref="A5:D5"/>
    <mergeCell ref="A2:D2"/>
    <mergeCell ref="A3:B3"/>
    <mergeCell ref="C3:D3"/>
    <mergeCell ref="A4:B4"/>
    <mergeCell ref="C4:D4"/>
    <mergeCell ref="C17:D17"/>
    <mergeCell ref="A6:D6"/>
    <mergeCell ref="C7:D7"/>
    <mergeCell ref="C8:D8"/>
    <mergeCell ref="C9:D9"/>
    <mergeCell ref="C10:D10"/>
    <mergeCell ref="C11:D11"/>
    <mergeCell ref="C12:D12"/>
    <mergeCell ref="C13:D13"/>
    <mergeCell ref="A14:D14"/>
    <mergeCell ref="A15:D15"/>
    <mergeCell ref="A16:D16"/>
    <mergeCell ref="A35:D35"/>
    <mergeCell ref="C18:D18"/>
    <mergeCell ref="C19:D19"/>
    <mergeCell ref="A20:D20"/>
    <mergeCell ref="B21:C21"/>
    <mergeCell ref="B22:C22"/>
    <mergeCell ref="B23:C23"/>
    <mergeCell ref="A24:D24"/>
    <mergeCell ref="A25:D25"/>
    <mergeCell ref="A26:D26"/>
    <mergeCell ref="B27:C27"/>
    <mergeCell ref="A34:C34"/>
    <mergeCell ref="A70:D70"/>
    <mergeCell ref="A36:D36"/>
    <mergeCell ref="A37:D37"/>
    <mergeCell ref="A41:B41"/>
    <mergeCell ref="A42:D42"/>
    <mergeCell ref="A52:B52"/>
    <mergeCell ref="A53:D53"/>
    <mergeCell ref="A62:C62"/>
    <mergeCell ref="A63:D63"/>
    <mergeCell ref="A64:B64"/>
    <mergeCell ref="A68:C68"/>
    <mergeCell ref="A69:D69"/>
    <mergeCell ref="A100:D100"/>
    <mergeCell ref="A71:D71"/>
    <mergeCell ref="A79:B79"/>
    <mergeCell ref="A80:D80"/>
    <mergeCell ref="A81:D81"/>
    <mergeCell ref="A82:D82"/>
    <mergeCell ref="A90:B90"/>
    <mergeCell ref="A91:D91"/>
    <mergeCell ref="A94:B94"/>
    <mergeCell ref="A95:D95"/>
    <mergeCell ref="A96:B96"/>
    <mergeCell ref="A99:B99"/>
    <mergeCell ref="A112:D112"/>
    <mergeCell ref="A101:D101"/>
    <mergeCell ref="A102:D102"/>
    <mergeCell ref="B103:C103"/>
    <mergeCell ref="B104:C104"/>
    <mergeCell ref="B105:C105"/>
    <mergeCell ref="B106:C106"/>
    <mergeCell ref="A107:C107"/>
    <mergeCell ref="A108:D108"/>
    <mergeCell ref="A109:C109"/>
    <mergeCell ref="A110:D110"/>
    <mergeCell ref="A111:D111"/>
    <mergeCell ref="B130:C130"/>
    <mergeCell ref="A115:C115"/>
    <mergeCell ref="A117:C117"/>
    <mergeCell ref="B118:D118"/>
    <mergeCell ref="A122:B122"/>
    <mergeCell ref="A123:B123"/>
    <mergeCell ref="A124:D124"/>
    <mergeCell ref="A125:C125"/>
    <mergeCell ref="A126:D126"/>
    <mergeCell ref="B127:C127"/>
    <mergeCell ref="B128:C128"/>
    <mergeCell ref="B129:C129"/>
    <mergeCell ref="B131:C131"/>
    <mergeCell ref="A132:C132"/>
    <mergeCell ref="B133:C133"/>
    <mergeCell ref="A134:C134"/>
    <mergeCell ref="A135:C13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TOTAL</vt:lpstr>
      <vt:lpstr>INSUMOS</vt:lpstr>
      <vt:lpstr>SR Noturno</vt:lpstr>
      <vt:lpstr>DRS Noturno</vt:lpstr>
      <vt:lpstr>PPA - Noturno</vt:lpstr>
      <vt:lpstr>NVI Noturno</vt:lpstr>
      <vt:lpstr>SR Diurno</vt:lpstr>
      <vt:lpstr>DRS Diurno</vt:lpstr>
      <vt:lpstr>PPA Diurno</vt:lpstr>
      <vt:lpstr>TLS Diurno</vt:lpstr>
      <vt:lpstr>CRA Diurno</vt:lpstr>
    </vt:vector>
  </TitlesOfParts>
  <Company>Policia Federal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LUCIO DA SILVA</dc:creator>
  <cp:lastModifiedBy>LUAN LUCIO DA SILVA</cp:lastModifiedBy>
  <cp:lastPrinted>2019-10-15T22:48:55Z</cp:lastPrinted>
  <dcterms:created xsi:type="dcterms:W3CDTF">2019-10-08T13:10:24Z</dcterms:created>
  <dcterms:modified xsi:type="dcterms:W3CDTF">2019-11-07T20:13:53Z</dcterms:modified>
</cp:coreProperties>
</file>